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codeName="ThisWorkbook" autoCompressPictures="0"/>
  <bookViews>
    <workbookView xWindow="100" yWindow="60" windowWidth="26100" windowHeight="16760"/>
  </bookViews>
  <sheets>
    <sheet name="flex" sheetId="20" r:id="rId1"/>
  </sheets>
  <definedNames>
    <definedName name="Abar">flex!$D$43:$E$43</definedName>
    <definedName name="alpha">flex!$D$42:$E$42</definedName>
    <definedName name="b">flex!$D$10:$E$10</definedName>
    <definedName name="c_">flex!$D$3:$E$3</definedName>
    <definedName name="cbar">flex!$D$2:$E$2</definedName>
    <definedName name="e">flex!$E$13</definedName>
    <definedName name="ebar">flex!$D$6:$E$6</definedName>
    <definedName name="F">flex!$D$12:$E$12</definedName>
    <definedName name="G">flex!$D$19:$E$19</definedName>
    <definedName name="h">flex!$D$18:$E$18</definedName>
    <definedName name="i">flex!$D$52:$E$52</definedName>
    <definedName name="Ibar">flex!$D$9:$E$9</definedName>
    <definedName name="istar">flex!$D$14:$E$14</definedName>
    <definedName name="k">flex!$D$17:$E$17</definedName>
    <definedName name="M">flex!$D$16:$E$16</definedName>
    <definedName name="m_">flex!$D$4:$E$4</definedName>
    <definedName name="solver_adj" localSheetId="0" hidden="1">flex!$E$18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flex!$U$23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3</definedName>
    <definedName name="solver_val" localSheetId="0" hidden="1">0.07</definedName>
    <definedName name="t">flex!$D$7:$E$7</definedName>
    <definedName name="Y">flex!$D$51:$E$51</definedName>
  </definedNames>
  <calcPr calcId="140001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5" i="20" l="1"/>
  <c r="E44" i="20"/>
  <c r="D44" i="20"/>
  <c r="E6" i="20"/>
  <c r="E4" i="20"/>
  <c r="E17" i="20"/>
  <c r="E5" i="20"/>
  <c r="D22" i="20"/>
  <c r="R44" i="20"/>
  <c r="E14" i="20"/>
  <c r="T44" i="20"/>
  <c r="E3" i="20"/>
  <c r="E7" i="20"/>
  <c r="E42" i="20"/>
  <c r="D42" i="20"/>
  <c r="E9" i="20"/>
  <c r="E2" i="20"/>
  <c r="E8" i="20"/>
  <c r="O14" i="20"/>
  <c r="R14" i="20"/>
  <c r="N15" i="20"/>
  <c r="O15" i="20"/>
  <c r="R15" i="20"/>
  <c r="N16" i="20"/>
  <c r="O16" i="20"/>
  <c r="R16" i="20"/>
  <c r="N17" i="20"/>
  <c r="O17" i="20"/>
  <c r="R17" i="20"/>
  <c r="N18" i="20"/>
  <c r="O18" i="20"/>
  <c r="R18" i="20"/>
  <c r="N19" i="20"/>
  <c r="O19" i="20"/>
  <c r="R19" i="20"/>
  <c r="N20" i="20"/>
  <c r="O20" i="20"/>
  <c r="R20" i="20"/>
  <c r="N21" i="20"/>
  <c r="O21" i="20"/>
  <c r="R21" i="20"/>
  <c r="N22" i="20"/>
  <c r="O22" i="20"/>
  <c r="R22" i="20"/>
  <c r="N23" i="20"/>
  <c r="O23" i="20"/>
  <c r="R23" i="20"/>
  <c r="N24" i="20"/>
  <c r="O24" i="20"/>
  <c r="R24" i="20"/>
  <c r="N25" i="20"/>
  <c r="O25" i="20"/>
  <c r="R25" i="20"/>
  <c r="N26" i="20"/>
  <c r="O26" i="20"/>
  <c r="R26" i="20"/>
  <c r="N27" i="20"/>
  <c r="O27" i="20"/>
  <c r="R27" i="20"/>
  <c r="D27" i="20"/>
  <c r="N28" i="20"/>
  <c r="O28" i="20"/>
  <c r="R28" i="20"/>
  <c r="O44" i="20"/>
  <c r="N45" i="20"/>
  <c r="O45" i="20"/>
  <c r="R45" i="20"/>
  <c r="N46" i="20"/>
  <c r="O46" i="20"/>
  <c r="R46" i="20"/>
  <c r="N47" i="20"/>
  <c r="O47" i="20"/>
  <c r="R47" i="20"/>
  <c r="N48" i="20"/>
  <c r="O48" i="20"/>
  <c r="R48" i="20"/>
  <c r="N49" i="20"/>
  <c r="O49" i="20"/>
  <c r="R49" i="20"/>
  <c r="N50" i="20"/>
  <c r="O50" i="20"/>
  <c r="R50" i="20"/>
  <c r="N51" i="20"/>
  <c r="O51" i="20"/>
  <c r="R51" i="20"/>
  <c r="N52" i="20"/>
  <c r="O52" i="20"/>
  <c r="R52" i="20"/>
  <c r="N53" i="20"/>
  <c r="O53" i="20"/>
  <c r="R53" i="20"/>
  <c r="N54" i="20"/>
  <c r="O54" i="20"/>
  <c r="R54" i="20"/>
  <c r="N55" i="20"/>
  <c r="O55" i="20"/>
  <c r="R55" i="20"/>
  <c r="N56" i="20"/>
  <c r="O56" i="20"/>
  <c r="R56" i="20"/>
  <c r="N57" i="20"/>
  <c r="O57" i="20"/>
  <c r="R57" i="20"/>
  <c r="N58" i="20"/>
  <c r="O58" i="20"/>
  <c r="R58" i="20"/>
  <c r="T14" i="20"/>
  <c r="T15" i="20"/>
  <c r="T16" i="20"/>
  <c r="T17" i="20"/>
  <c r="T18" i="20"/>
  <c r="T19" i="20"/>
  <c r="T20" i="20"/>
  <c r="T21" i="20"/>
  <c r="T22" i="20"/>
  <c r="T23" i="20"/>
  <c r="T24" i="20"/>
  <c r="T25" i="20"/>
  <c r="T26" i="20"/>
  <c r="T27" i="20"/>
  <c r="T28" i="20"/>
  <c r="T45" i="20"/>
  <c r="T46" i="20"/>
  <c r="T47" i="20"/>
  <c r="T48" i="20"/>
  <c r="T49" i="20"/>
  <c r="T50" i="20"/>
  <c r="T51" i="20"/>
  <c r="T52" i="20"/>
  <c r="T53" i="20"/>
  <c r="T54" i="20"/>
  <c r="T55" i="20"/>
  <c r="T56" i="20"/>
  <c r="T57" i="20"/>
  <c r="T58" i="20"/>
  <c r="Q14" i="20"/>
  <c r="P14" i="20"/>
  <c r="S14" i="20"/>
  <c r="Q15" i="20"/>
  <c r="P15" i="20"/>
  <c r="S15" i="20"/>
  <c r="Q16" i="20"/>
  <c r="P16" i="20"/>
  <c r="S16" i="20"/>
  <c r="Q17" i="20"/>
  <c r="P17" i="20"/>
  <c r="S17" i="20"/>
  <c r="Q18" i="20"/>
  <c r="P18" i="20"/>
  <c r="S18" i="20"/>
  <c r="Q19" i="20"/>
  <c r="P19" i="20"/>
  <c r="S19" i="20"/>
  <c r="Q20" i="20"/>
  <c r="P20" i="20"/>
  <c r="S20" i="20"/>
  <c r="Q21" i="20"/>
  <c r="P21" i="20"/>
  <c r="S21" i="20"/>
  <c r="Q22" i="20"/>
  <c r="P22" i="20"/>
  <c r="S22" i="20"/>
  <c r="Q23" i="20"/>
  <c r="P23" i="20"/>
  <c r="S23" i="20"/>
  <c r="Q24" i="20"/>
  <c r="P24" i="20"/>
  <c r="S24" i="20"/>
  <c r="Q25" i="20"/>
  <c r="P25" i="20"/>
  <c r="S25" i="20"/>
  <c r="Q26" i="20"/>
  <c r="P26" i="20"/>
  <c r="S26" i="20"/>
  <c r="Q27" i="20"/>
  <c r="P27" i="20"/>
  <c r="S27" i="20"/>
  <c r="Q28" i="20"/>
  <c r="P28" i="20"/>
  <c r="S28" i="20"/>
  <c r="D43" i="20"/>
  <c r="E43" i="20"/>
  <c r="Q44" i="20"/>
  <c r="P44" i="20"/>
  <c r="S44" i="20"/>
  <c r="Q45" i="20"/>
  <c r="P45" i="20"/>
  <c r="S45" i="20"/>
  <c r="Q46" i="20"/>
  <c r="P46" i="20"/>
  <c r="S46" i="20"/>
  <c r="Q47" i="20"/>
  <c r="P47" i="20"/>
  <c r="S47" i="20"/>
  <c r="Q48" i="20"/>
  <c r="P48" i="20"/>
  <c r="S48" i="20"/>
  <c r="Q49" i="20"/>
  <c r="P49" i="20"/>
  <c r="S49" i="20"/>
  <c r="Q50" i="20"/>
  <c r="P50" i="20"/>
  <c r="S50" i="20"/>
  <c r="Q51" i="20"/>
  <c r="P51" i="20"/>
  <c r="S51" i="20"/>
  <c r="Q52" i="20"/>
  <c r="P52" i="20"/>
  <c r="S52" i="20"/>
  <c r="Q53" i="20"/>
  <c r="P53" i="20"/>
  <c r="S53" i="20"/>
  <c r="Q54" i="20"/>
  <c r="P54" i="20"/>
  <c r="S54" i="20"/>
  <c r="Q55" i="20"/>
  <c r="P55" i="20"/>
  <c r="S55" i="20"/>
  <c r="Q56" i="20"/>
  <c r="P56" i="20"/>
  <c r="S56" i="20"/>
  <c r="Q57" i="20"/>
  <c r="P57" i="20"/>
  <c r="S57" i="20"/>
  <c r="Q58" i="20"/>
  <c r="P58" i="20"/>
  <c r="S58" i="20"/>
  <c r="E37" i="20"/>
  <c r="E38" i="20"/>
  <c r="D11" i="20"/>
  <c r="E11" i="20"/>
  <c r="U14" i="20"/>
  <c r="D15" i="20"/>
  <c r="E15" i="20"/>
  <c r="U15" i="20"/>
  <c r="D16" i="20"/>
  <c r="E16" i="20"/>
  <c r="U16" i="20"/>
  <c r="U17" i="20"/>
  <c r="U18" i="20"/>
  <c r="U19" i="20"/>
  <c r="U20" i="20"/>
  <c r="U21" i="20"/>
  <c r="C22" i="20"/>
  <c r="G22" i="20"/>
  <c r="U22" i="20"/>
  <c r="B23" i="20"/>
  <c r="G23" i="20"/>
  <c r="U23" i="20"/>
  <c r="C24" i="20"/>
  <c r="E24" i="20"/>
  <c r="F24" i="20"/>
  <c r="G24" i="20"/>
  <c r="U24" i="20"/>
  <c r="C25" i="20"/>
  <c r="G25" i="20"/>
  <c r="U25" i="20"/>
  <c r="B26" i="20"/>
  <c r="G26" i="20"/>
  <c r="U26" i="20"/>
  <c r="B27" i="20"/>
  <c r="C27" i="20"/>
  <c r="E27" i="20"/>
  <c r="F27" i="20"/>
  <c r="U27" i="20"/>
  <c r="U28" i="20"/>
  <c r="C30" i="20"/>
  <c r="D32" i="20"/>
  <c r="E32" i="20"/>
  <c r="D33" i="20"/>
  <c r="E33" i="20"/>
  <c r="D34" i="20"/>
  <c r="D35" i="20"/>
  <c r="E35" i="20"/>
  <c r="D36" i="20"/>
  <c r="E36" i="20"/>
  <c r="D37" i="20"/>
  <c r="D38" i="20"/>
  <c r="D39" i="20"/>
  <c r="E39" i="20"/>
  <c r="D40" i="20"/>
  <c r="E40" i="20"/>
  <c r="U44" i="20"/>
  <c r="D45" i="20"/>
  <c r="U45" i="20"/>
  <c r="U46" i="20"/>
  <c r="U47" i="20"/>
  <c r="U48" i="20"/>
  <c r="U49" i="20"/>
  <c r="U50" i="20"/>
  <c r="U51" i="20"/>
  <c r="U52" i="20"/>
  <c r="U53" i="20"/>
  <c r="U54" i="20"/>
  <c r="U55" i="20"/>
  <c r="U56" i="20"/>
  <c r="U57" i="20"/>
  <c r="U58" i="20"/>
</calcChain>
</file>

<file path=xl/comments1.xml><?xml version="1.0" encoding="utf-8"?>
<comments xmlns="http://schemas.openxmlformats.org/spreadsheetml/2006/main">
  <authors>
    <author>Bill Gibson</author>
  </authors>
  <commentList>
    <comment ref="D33" authorId="0">
      <text>
        <r>
          <rPr>
            <b/>
            <sz val="9"/>
            <color indexed="81"/>
            <rFont val="Bookman Old Style"/>
          </rPr>
          <t>i = (kY-Ms)/h+istar</t>
        </r>
      </text>
    </comment>
  </commentList>
</comments>
</file>

<file path=xl/sharedStrings.xml><?xml version="1.0" encoding="utf-8"?>
<sst xmlns="http://schemas.openxmlformats.org/spreadsheetml/2006/main" count="76" uniqueCount="61">
  <si>
    <t>Y</t>
  </si>
  <si>
    <t>C</t>
  </si>
  <si>
    <t>Parameters</t>
  </si>
  <si>
    <t>Base SAM</t>
  </si>
  <si>
    <t>Firms</t>
  </si>
  <si>
    <t>Households</t>
  </si>
  <si>
    <t>Investment</t>
  </si>
  <si>
    <t>Total</t>
  </si>
  <si>
    <t>HH</t>
  </si>
  <si>
    <t>Savings</t>
  </si>
  <si>
    <t xml:space="preserve">  Marginal propensity to consume </t>
  </si>
  <si>
    <t xml:space="preserve">  Autonomous Consumption</t>
  </si>
  <si>
    <t>GDP</t>
  </si>
  <si>
    <t>I</t>
  </si>
  <si>
    <t>Govt</t>
  </si>
  <si>
    <t>G</t>
  </si>
  <si>
    <t>Foreign</t>
  </si>
  <si>
    <t xml:space="preserve">  Marginal propensity to import</t>
  </si>
  <si>
    <t xml:space="preserve">  Tax rate</t>
  </si>
  <si>
    <t xml:space="preserve">  Initial interest rate</t>
  </si>
  <si>
    <t xml:space="preserve">  Autonomous investment </t>
  </si>
  <si>
    <t xml:space="preserve">   Interest responsiveness of investment</t>
  </si>
  <si>
    <t xml:space="preserve">  Exchange rate</t>
  </si>
  <si>
    <t xml:space="preserve">  Foreign interest rate</t>
  </si>
  <si>
    <t>N</t>
  </si>
  <si>
    <t>BP-r</t>
  </si>
  <si>
    <t>IS</t>
  </si>
  <si>
    <t>LM</t>
  </si>
  <si>
    <t xml:space="preserve">  Export responsiveness to exchange rate</t>
  </si>
  <si>
    <t xml:space="preserve">   Autonomous exports</t>
  </si>
  <si>
    <t xml:space="preserve">  F</t>
  </si>
  <si>
    <t>base</t>
  </si>
  <si>
    <t>change</t>
  </si>
  <si>
    <t>Change</t>
  </si>
  <si>
    <t>Base</t>
  </si>
  <si>
    <t>Alpha</t>
  </si>
  <si>
    <t>Flexible</t>
  </si>
  <si>
    <t>Abar</t>
  </si>
  <si>
    <t>i</t>
  </si>
  <si>
    <t>er</t>
  </si>
  <si>
    <t>Money supply (real value)</t>
  </si>
  <si>
    <t xml:space="preserve"> transactions coefficient</t>
  </si>
  <si>
    <t xml:space="preserve"> speculative coefficient</t>
  </si>
  <si>
    <t xml:space="preserve">  Base capital inflow</t>
  </si>
  <si>
    <t>This country is an example of how macroeconomic mismanagement c</t>
  </si>
  <si>
    <t>can cause havok.   The problem starts with  a rise in government expenditure</t>
  </si>
  <si>
    <t>increasing by 10.   This could have been initiated by policymakers that had previously</t>
  </si>
  <si>
    <t xml:space="preserve">run a government surplus, but now because an election was coming up needed to </t>
  </si>
  <si>
    <t>Govt deficit</t>
  </si>
  <si>
    <t>Trade deficit</t>
  </si>
  <si>
    <t xml:space="preserve">increase spending.  The movement from a surlpus to a deficit upset the major  </t>
  </si>
  <si>
    <t xml:space="preserve">macroeconomic indicators dramatically.   First the demand for money for </t>
  </si>
  <si>
    <t xml:space="preserve">transactions purposes (k) doubled indicating a lack of trust in local financial </t>
  </si>
  <si>
    <t xml:space="preserve">instruments.  The deficit kicked up some inflation since the real value of the </t>
  </si>
  <si>
    <t xml:space="preserve">money supply fell precipitously.   The combination pushed the interest rate to </t>
  </si>
  <si>
    <t xml:space="preserve">almost triple its base level.   </t>
  </si>
  <si>
    <t>Data for graph</t>
  </si>
  <si>
    <t>Exports</t>
  </si>
  <si>
    <t>∆R</t>
  </si>
  <si>
    <t xml:space="preserve"> Imports</t>
  </si>
  <si>
    <t>L/M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</si>
</sst>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"/>
    <numFmt numFmtId="165" formatCode="0.0"/>
    <numFmt numFmtId="166" formatCode="0.00000"/>
  </numFmts>
  <fonts count="11" x14ac:knownFonts="1">
    <font>
      <sz val="10"/>
      <name val="Bookman Old Style"/>
    </font>
    <font>
      <sz val="10"/>
      <name val="Bookman Old Style"/>
    </font>
    <font>
      <sz val="8"/>
      <name val="Bookman Old Style"/>
    </font>
    <font>
      <sz val="10"/>
      <name val="Arial"/>
    </font>
    <font>
      <sz val="12"/>
      <color rgb="FF9C6500"/>
      <name val="Comic Sans MS"/>
      <family val="2"/>
    </font>
    <font>
      <sz val="12"/>
      <color rgb="FF3F3F76"/>
      <name val="Comic Sans MS"/>
      <family val="2"/>
    </font>
    <font>
      <u/>
      <sz val="10"/>
      <color theme="10"/>
      <name val="Bookman Old Style"/>
    </font>
    <font>
      <u/>
      <sz val="10"/>
      <color theme="11"/>
      <name val="Bookman Old Style"/>
    </font>
    <font>
      <b/>
      <sz val="9"/>
      <color indexed="81"/>
      <name val="Bookman Old Style"/>
    </font>
    <font>
      <sz val="10"/>
      <name val="Comic Sans MS"/>
    </font>
    <font>
      <sz val="12"/>
      <color rgb="FFFF0000"/>
      <name val="Comic Sans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93">
    <xf numFmtId="0" fontId="0" fillId="0" borderId="0"/>
    <xf numFmtId="43" fontId="1" fillId="0" borderId="0" applyFont="0" applyFill="0" applyBorder="0" applyAlignment="0" applyProtection="0"/>
    <xf numFmtId="0" fontId="5" fillId="4" borderId="2" applyNumberFormat="0" applyAlignment="0" applyProtection="0"/>
    <xf numFmtId="0" fontId="4" fillId="3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2" fontId="5" fillId="4" borderId="0" xfId="2" applyNumberFormat="1" applyBorder="1" applyAlignment="1">
      <alignment horizontal="center"/>
    </xf>
    <xf numFmtId="2" fontId="9" fillId="2" borderId="0" xfId="0" applyNumberFormat="1" applyFont="1" applyFill="1"/>
    <xf numFmtId="2" fontId="9" fillId="2" borderId="0" xfId="0" applyNumberFormat="1" applyFont="1" applyFill="1" applyAlignment="1">
      <alignment horizontal="center"/>
    </xf>
    <xf numFmtId="2" fontId="9" fillId="2" borderId="0" xfId="0" applyNumberFormat="1" applyFont="1" applyFill="1" applyBorder="1"/>
    <xf numFmtId="2" fontId="5" fillId="4" borderId="0" xfId="2" applyNumberFormat="1" applyFont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2" fontId="9" fillId="2" borderId="0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165" fontId="9" fillId="2" borderId="0" xfId="0" applyNumberFormat="1" applyFont="1" applyFill="1" applyAlignment="1">
      <alignment horizontal="center"/>
    </xf>
    <xf numFmtId="2" fontId="9" fillId="2" borderId="0" xfId="0" quotePrefix="1" applyNumberFormat="1" applyFont="1" applyFill="1" applyAlignment="1">
      <alignment horizontal="center"/>
    </xf>
    <xf numFmtId="2" fontId="9" fillId="2" borderId="0" xfId="0" applyNumberFormat="1" applyFont="1" applyFill="1" applyAlignment="1">
      <alignment horizontal="center" wrapText="1"/>
    </xf>
    <xf numFmtId="164" fontId="9" fillId="2" borderId="0" xfId="0" quotePrefix="1" applyNumberFormat="1" applyFont="1" applyFill="1" applyAlignment="1">
      <alignment horizontal="center"/>
    </xf>
    <xf numFmtId="2" fontId="9" fillId="2" borderId="0" xfId="0" applyNumberFormat="1" applyFont="1" applyFill="1" applyAlignment="1">
      <alignment horizontal="center" vertical="center"/>
    </xf>
    <xf numFmtId="2" fontId="9" fillId="2" borderId="0" xfId="0" applyNumberFormat="1" applyFont="1" applyFill="1" applyAlignment="1">
      <alignment horizontal="left"/>
    </xf>
    <xf numFmtId="2" fontId="9" fillId="2" borderId="0" xfId="1" applyNumberFormat="1" applyFont="1" applyFill="1" applyAlignment="1">
      <alignment horizontal="center"/>
    </xf>
    <xf numFmtId="2" fontId="4" fillId="3" borderId="0" xfId="3" applyNumberFormat="1" applyAlignment="1">
      <alignment horizontal="center"/>
    </xf>
    <xf numFmtId="2" fontId="10" fillId="4" borderId="0" xfId="40" applyNumberFormat="1" applyFill="1" applyBorder="1" applyAlignment="1">
      <alignment horizontal="center"/>
    </xf>
    <xf numFmtId="2" fontId="10" fillId="4" borderId="0" xfId="2" applyNumberFormat="1" applyFont="1" applyBorder="1" applyAlignment="1">
      <alignment horizontal="center"/>
    </xf>
    <xf numFmtId="166" fontId="9" fillId="2" borderId="0" xfId="0" quotePrefix="1" applyNumberFormat="1" applyFont="1" applyFill="1" applyAlignment="1">
      <alignment horizontal="center"/>
    </xf>
    <xf numFmtId="166" fontId="9" fillId="2" borderId="0" xfId="0" applyNumberFormat="1" applyFont="1" applyFill="1" applyAlignment="1">
      <alignment horizontal="center"/>
    </xf>
  </cellXfs>
  <cellStyles count="93">
    <cellStyle name="Comma" xfId="1" builtinId="3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Input" xfId="2" builtinId="20"/>
    <cellStyle name="Neutral" xfId="3" builtinId="28"/>
    <cellStyle name="Normal" xfId="0" builtinId="0"/>
    <cellStyle name="Normal 2" xfId="4"/>
    <cellStyle name="Percent 2" xfId="5"/>
    <cellStyle name="Warning Text" xfId="40" builtinId="11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816824146981627"/>
          <c:y val="0.0601851851851852"/>
          <c:w val="0.704196631671041"/>
          <c:h val="0.716311606882473"/>
        </c:manualLayout>
      </c:layout>
      <c:scatterChart>
        <c:scatterStyle val="smoothMarker"/>
        <c:varyColors val="0"/>
        <c:ser>
          <c:idx val="0"/>
          <c:order val="0"/>
          <c:tx>
            <c:v>IS-base</c:v>
          </c:tx>
          <c:spPr>
            <a:ln w="12700">
              <a:solidFill>
                <a:srgbClr val="4F81BD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flex!$N$14:$N$28</c:f>
              <c:numCache>
                <c:formatCode>0.00</c:formatCode>
                <c:ptCount val="15"/>
                <c:pt idx="0">
                  <c:v>15.0</c:v>
                </c:pt>
                <c:pt idx="1">
                  <c:v>30.0</c:v>
                </c:pt>
                <c:pt idx="2">
                  <c:v>45.0</c:v>
                </c:pt>
                <c:pt idx="3">
                  <c:v>60.0</c:v>
                </c:pt>
                <c:pt idx="4">
                  <c:v>75.0</c:v>
                </c:pt>
                <c:pt idx="5">
                  <c:v>90.0</c:v>
                </c:pt>
                <c:pt idx="6">
                  <c:v>105.0</c:v>
                </c:pt>
                <c:pt idx="7">
                  <c:v>120.0</c:v>
                </c:pt>
                <c:pt idx="8">
                  <c:v>135.0</c:v>
                </c:pt>
                <c:pt idx="9">
                  <c:v>150.0</c:v>
                </c:pt>
                <c:pt idx="10">
                  <c:v>165.0</c:v>
                </c:pt>
                <c:pt idx="11">
                  <c:v>180.0</c:v>
                </c:pt>
                <c:pt idx="12">
                  <c:v>195.0</c:v>
                </c:pt>
                <c:pt idx="13">
                  <c:v>210.0</c:v>
                </c:pt>
                <c:pt idx="14">
                  <c:v>225.0</c:v>
                </c:pt>
              </c:numCache>
            </c:numRef>
          </c:xVal>
          <c:yVal>
            <c:numRef>
              <c:f>flex!$S$14:$S$28</c:f>
              <c:numCache>
                <c:formatCode>0.00</c:formatCode>
                <c:ptCount val="15"/>
                <c:pt idx="0">
                  <c:v>2.75</c:v>
                </c:pt>
                <c:pt idx="1">
                  <c:v>2.39</c:v>
                </c:pt>
                <c:pt idx="2">
                  <c:v>2.03</c:v>
                </c:pt>
                <c:pt idx="3">
                  <c:v>1.669999999999999</c:v>
                </c:pt>
                <c:pt idx="4">
                  <c:v>1.31</c:v>
                </c:pt>
                <c:pt idx="5">
                  <c:v>0.95</c:v>
                </c:pt>
                <c:pt idx="6">
                  <c:v>0.59</c:v>
                </c:pt>
                <c:pt idx="7">
                  <c:v>0.229999999999999</c:v>
                </c:pt>
                <c:pt idx="8">
                  <c:v>-0.13</c:v>
                </c:pt>
                <c:pt idx="9">
                  <c:v>-0.49</c:v>
                </c:pt>
                <c:pt idx="10">
                  <c:v>-0.85</c:v>
                </c:pt>
                <c:pt idx="11">
                  <c:v>-1.210000000000001</c:v>
                </c:pt>
                <c:pt idx="12">
                  <c:v>-1.570000000000001</c:v>
                </c:pt>
                <c:pt idx="13">
                  <c:v>-1.93</c:v>
                </c:pt>
                <c:pt idx="14">
                  <c:v>-2.29</c:v>
                </c:pt>
              </c:numCache>
            </c:numRef>
          </c:yVal>
          <c:smooth val="1"/>
        </c:ser>
        <c:ser>
          <c:idx val="1"/>
          <c:order val="1"/>
          <c:tx>
            <c:v>BP-base</c:v>
          </c:tx>
          <c:spPr>
            <a:ln w="12700" cmpd="sng">
              <a:solidFill>
                <a:srgbClr val="C0504D"/>
              </a:solidFill>
            </a:ln>
          </c:spPr>
          <c:marker>
            <c:symbol val="circle"/>
            <c:size val="5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flex!$N$14:$N$28</c:f>
              <c:numCache>
                <c:formatCode>0.00</c:formatCode>
                <c:ptCount val="15"/>
                <c:pt idx="0">
                  <c:v>15.0</c:v>
                </c:pt>
                <c:pt idx="1">
                  <c:v>30.0</c:v>
                </c:pt>
                <c:pt idx="2">
                  <c:v>45.0</c:v>
                </c:pt>
                <c:pt idx="3">
                  <c:v>60.0</c:v>
                </c:pt>
                <c:pt idx="4">
                  <c:v>75.0</c:v>
                </c:pt>
                <c:pt idx="5">
                  <c:v>90.0</c:v>
                </c:pt>
                <c:pt idx="6">
                  <c:v>105.0</c:v>
                </c:pt>
                <c:pt idx="7">
                  <c:v>120.0</c:v>
                </c:pt>
                <c:pt idx="8">
                  <c:v>135.0</c:v>
                </c:pt>
                <c:pt idx="9">
                  <c:v>150.0</c:v>
                </c:pt>
                <c:pt idx="10">
                  <c:v>165.0</c:v>
                </c:pt>
                <c:pt idx="11">
                  <c:v>180.0</c:v>
                </c:pt>
                <c:pt idx="12">
                  <c:v>195.0</c:v>
                </c:pt>
                <c:pt idx="13">
                  <c:v>210.0</c:v>
                </c:pt>
                <c:pt idx="14">
                  <c:v>225.0</c:v>
                </c:pt>
              </c:numCache>
            </c:numRef>
          </c:xVal>
          <c:yVal>
            <c:numRef>
              <c:f>flex!$T$14:$T$28</c:f>
              <c:numCache>
                <c:formatCode>0.00</c:formatCode>
                <c:ptCount val="15"/>
                <c:pt idx="0">
                  <c:v>-0.006</c:v>
                </c:pt>
                <c:pt idx="1">
                  <c:v>0.0</c:v>
                </c:pt>
                <c:pt idx="2">
                  <c:v>0.006</c:v>
                </c:pt>
                <c:pt idx="3">
                  <c:v>0.012</c:v>
                </c:pt>
                <c:pt idx="4">
                  <c:v>0.018</c:v>
                </c:pt>
                <c:pt idx="5">
                  <c:v>0.024</c:v>
                </c:pt>
                <c:pt idx="6">
                  <c:v>0.03</c:v>
                </c:pt>
                <c:pt idx="7">
                  <c:v>0.036</c:v>
                </c:pt>
                <c:pt idx="8">
                  <c:v>0.042</c:v>
                </c:pt>
                <c:pt idx="9">
                  <c:v>0.048</c:v>
                </c:pt>
                <c:pt idx="10">
                  <c:v>0.054</c:v>
                </c:pt>
                <c:pt idx="11">
                  <c:v>0.06</c:v>
                </c:pt>
                <c:pt idx="12">
                  <c:v>0.066</c:v>
                </c:pt>
                <c:pt idx="13">
                  <c:v>0.072</c:v>
                </c:pt>
                <c:pt idx="14">
                  <c:v>0.078</c:v>
                </c:pt>
              </c:numCache>
            </c:numRef>
          </c:yVal>
          <c:smooth val="1"/>
        </c:ser>
        <c:ser>
          <c:idx val="4"/>
          <c:order val="2"/>
          <c:tx>
            <c:v>LM-base</c:v>
          </c:tx>
          <c:spPr>
            <a:ln w="12700" cmpd="sng">
              <a:solidFill>
                <a:srgbClr val="9BBB59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BBB59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flex!$N$14:$N$28</c:f>
              <c:numCache>
                <c:formatCode>0.00</c:formatCode>
                <c:ptCount val="15"/>
                <c:pt idx="0">
                  <c:v>15.0</c:v>
                </c:pt>
                <c:pt idx="1">
                  <c:v>30.0</c:v>
                </c:pt>
                <c:pt idx="2">
                  <c:v>45.0</c:v>
                </c:pt>
                <c:pt idx="3">
                  <c:v>60.0</c:v>
                </c:pt>
                <c:pt idx="4">
                  <c:v>75.0</c:v>
                </c:pt>
                <c:pt idx="5">
                  <c:v>90.0</c:v>
                </c:pt>
                <c:pt idx="6">
                  <c:v>105.0</c:v>
                </c:pt>
                <c:pt idx="7">
                  <c:v>120.0</c:v>
                </c:pt>
                <c:pt idx="8">
                  <c:v>135.0</c:v>
                </c:pt>
                <c:pt idx="9">
                  <c:v>150.0</c:v>
                </c:pt>
                <c:pt idx="10">
                  <c:v>165.0</c:v>
                </c:pt>
                <c:pt idx="11">
                  <c:v>180.0</c:v>
                </c:pt>
                <c:pt idx="12">
                  <c:v>195.0</c:v>
                </c:pt>
                <c:pt idx="13">
                  <c:v>210.0</c:v>
                </c:pt>
                <c:pt idx="14">
                  <c:v>225.0</c:v>
                </c:pt>
              </c:numCache>
            </c:numRef>
          </c:xVal>
          <c:yVal>
            <c:numRef>
              <c:f>flex!$U$14:$U$28</c:f>
              <c:numCache>
                <c:formatCode>0.00</c:formatCode>
                <c:ptCount val="15"/>
                <c:pt idx="0">
                  <c:v>-0.00866666666666661</c:v>
                </c:pt>
                <c:pt idx="1">
                  <c:v>-0.000666666666666607</c:v>
                </c:pt>
                <c:pt idx="2">
                  <c:v>0.00733333333333327</c:v>
                </c:pt>
                <c:pt idx="3">
                  <c:v>0.0153333333333333</c:v>
                </c:pt>
                <c:pt idx="4">
                  <c:v>0.0233333333333333</c:v>
                </c:pt>
                <c:pt idx="5">
                  <c:v>0.0313333333333333</c:v>
                </c:pt>
                <c:pt idx="6">
                  <c:v>0.0393333333333333</c:v>
                </c:pt>
                <c:pt idx="7">
                  <c:v>0.0473333333333333</c:v>
                </c:pt>
                <c:pt idx="8">
                  <c:v>0.0553333333333333</c:v>
                </c:pt>
                <c:pt idx="9">
                  <c:v>0.0633333333333333</c:v>
                </c:pt>
                <c:pt idx="10">
                  <c:v>0.0713333333333333</c:v>
                </c:pt>
                <c:pt idx="11">
                  <c:v>0.0793333333333333</c:v>
                </c:pt>
                <c:pt idx="12">
                  <c:v>0.0873333333333332</c:v>
                </c:pt>
                <c:pt idx="13">
                  <c:v>0.0953333333333332</c:v>
                </c:pt>
                <c:pt idx="14">
                  <c:v>0.103333333333333</c:v>
                </c:pt>
              </c:numCache>
            </c:numRef>
          </c:yVal>
          <c:smooth val="1"/>
        </c:ser>
        <c:ser>
          <c:idx val="3"/>
          <c:order val="3"/>
          <c:tx>
            <c:v>IS-shift</c:v>
          </c:tx>
          <c:spPr>
            <a:ln w="12700" cmpd="sng">
              <a:solidFill>
                <a:srgbClr val="1F497D"/>
              </a:solidFill>
              <a:prstDash val="dash"/>
            </a:ln>
          </c:spPr>
          <c:marker>
            <c:symbol val="none"/>
          </c:marker>
          <c:xVal>
            <c:numRef>
              <c:f>flex!$N$44:$N$58</c:f>
              <c:numCache>
                <c:formatCode>0.00</c:formatCode>
                <c:ptCount val="15"/>
                <c:pt idx="0">
                  <c:v>15.0</c:v>
                </c:pt>
                <c:pt idx="1">
                  <c:v>30.0</c:v>
                </c:pt>
                <c:pt idx="2">
                  <c:v>45.0</c:v>
                </c:pt>
                <c:pt idx="3">
                  <c:v>60.0</c:v>
                </c:pt>
                <c:pt idx="4">
                  <c:v>75.0</c:v>
                </c:pt>
                <c:pt idx="5">
                  <c:v>90.0</c:v>
                </c:pt>
                <c:pt idx="6">
                  <c:v>105.0</c:v>
                </c:pt>
                <c:pt idx="7">
                  <c:v>120.0</c:v>
                </c:pt>
                <c:pt idx="8">
                  <c:v>135.0</c:v>
                </c:pt>
                <c:pt idx="9">
                  <c:v>150.0</c:v>
                </c:pt>
                <c:pt idx="10">
                  <c:v>165.0</c:v>
                </c:pt>
                <c:pt idx="11">
                  <c:v>180.0</c:v>
                </c:pt>
                <c:pt idx="12">
                  <c:v>195.0</c:v>
                </c:pt>
                <c:pt idx="13">
                  <c:v>210.0</c:v>
                </c:pt>
                <c:pt idx="14">
                  <c:v>225.0</c:v>
                </c:pt>
              </c:numCache>
            </c:numRef>
          </c:xVal>
          <c:yVal>
            <c:numRef>
              <c:f>flex!$S$44:$S$58</c:f>
              <c:numCache>
                <c:formatCode>0.00</c:formatCode>
                <c:ptCount val="15"/>
                <c:pt idx="0">
                  <c:v>1.3</c:v>
                </c:pt>
                <c:pt idx="1">
                  <c:v>1.156</c:v>
                </c:pt>
                <c:pt idx="2">
                  <c:v>1.012</c:v>
                </c:pt>
                <c:pt idx="3">
                  <c:v>0.868</c:v>
                </c:pt>
                <c:pt idx="4">
                  <c:v>0.724</c:v>
                </c:pt>
                <c:pt idx="5">
                  <c:v>0.58</c:v>
                </c:pt>
                <c:pt idx="6">
                  <c:v>0.436</c:v>
                </c:pt>
                <c:pt idx="7">
                  <c:v>0.292</c:v>
                </c:pt>
                <c:pt idx="8">
                  <c:v>0.148</c:v>
                </c:pt>
                <c:pt idx="9">
                  <c:v>0.0039999999999997</c:v>
                </c:pt>
                <c:pt idx="10">
                  <c:v>-0.14</c:v>
                </c:pt>
                <c:pt idx="11">
                  <c:v>-0.284</c:v>
                </c:pt>
                <c:pt idx="12">
                  <c:v>-0.428</c:v>
                </c:pt>
                <c:pt idx="13">
                  <c:v>-0.572</c:v>
                </c:pt>
                <c:pt idx="14">
                  <c:v>-0.716</c:v>
                </c:pt>
              </c:numCache>
            </c:numRef>
          </c:yVal>
          <c:smooth val="1"/>
        </c:ser>
        <c:ser>
          <c:idx val="2"/>
          <c:order val="4"/>
          <c:tx>
            <c:v>BP-shfit</c:v>
          </c:tx>
          <c:spPr>
            <a:ln w="12700" cmpd="sng">
              <a:solidFill>
                <a:srgbClr val="C0504D"/>
              </a:solidFill>
              <a:prstDash val="dash"/>
            </a:ln>
          </c:spPr>
          <c:marker>
            <c:symbol val="none"/>
          </c:marker>
          <c:xVal>
            <c:numRef>
              <c:f>flex!$N$44:$N$58</c:f>
              <c:numCache>
                <c:formatCode>0.00</c:formatCode>
                <c:ptCount val="15"/>
                <c:pt idx="0">
                  <c:v>15.0</c:v>
                </c:pt>
                <c:pt idx="1">
                  <c:v>30.0</c:v>
                </c:pt>
                <c:pt idx="2">
                  <c:v>45.0</c:v>
                </c:pt>
                <c:pt idx="3">
                  <c:v>60.0</c:v>
                </c:pt>
                <c:pt idx="4">
                  <c:v>75.0</c:v>
                </c:pt>
                <c:pt idx="5">
                  <c:v>90.0</c:v>
                </c:pt>
                <c:pt idx="6">
                  <c:v>105.0</c:v>
                </c:pt>
                <c:pt idx="7">
                  <c:v>120.0</c:v>
                </c:pt>
                <c:pt idx="8">
                  <c:v>135.0</c:v>
                </c:pt>
                <c:pt idx="9">
                  <c:v>150.0</c:v>
                </c:pt>
                <c:pt idx="10">
                  <c:v>165.0</c:v>
                </c:pt>
                <c:pt idx="11">
                  <c:v>180.0</c:v>
                </c:pt>
                <c:pt idx="12">
                  <c:v>195.0</c:v>
                </c:pt>
                <c:pt idx="13">
                  <c:v>210.0</c:v>
                </c:pt>
                <c:pt idx="14">
                  <c:v>225.0</c:v>
                </c:pt>
              </c:numCache>
            </c:numRef>
          </c:xVal>
          <c:yVal>
            <c:numRef>
              <c:f>flex!$T$44:$T$58</c:f>
              <c:numCache>
                <c:formatCode>0.00</c:formatCode>
                <c:ptCount val="15"/>
                <c:pt idx="0">
                  <c:v>-0.113333333333333</c:v>
                </c:pt>
                <c:pt idx="1">
                  <c:v>-0.0933333333333333</c:v>
                </c:pt>
                <c:pt idx="2">
                  <c:v>-0.0733333333333333</c:v>
                </c:pt>
                <c:pt idx="3">
                  <c:v>-0.0533333333333333</c:v>
                </c:pt>
                <c:pt idx="4">
                  <c:v>-0.0333333333333333</c:v>
                </c:pt>
                <c:pt idx="5">
                  <c:v>-0.0133333333333333</c:v>
                </c:pt>
                <c:pt idx="6">
                  <c:v>0.00666666666666667</c:v>
                </c:pt>
                <c:pt idx="7">
                  <c:v>0.0266666666666667</c:v>
                </c:pt>
                <c:pt idx="8">
                  <c:v>0.0466666666666667</c:v>
                </c:pt>
                <c:pt idx="9">
                  <c:v>0.0666666666666667</c:v>
                </c:pt>
                <c:pt idx="10">
                  <c:v>0.0866666666666667</c:v>
                </c:pt>
                <c:pt idx="11">
                  <c:v>0.106666666666667</c:v>
                </c:pt>
                <c:pt idx="12">
                  <c:v>0.126666666666667</c:v>
                </c:pt>
                <c:pt idx="13">
                  <c:v>0.146666666666667</c:v>
                </c:pt>
                <c:pt idx="14">
                  <c:v>0.166666666666667</c:v>
                </c:pt>
              </c:numCache>
            </c:numRef>
          </c:yVal>
          <c:smooth val="1"/>
        </c:ser>
        <c:ser>
          <c:idx val="5"/>
          <c:order val="5"/>
          <c:tx>
            <c:v>LM-shift</c:v>
          </c:tx>
          <c:spPr>
            <a:ln w="12700" cmpd="sng">
              <a:solidFill>
                <a:srgbClr val="9BBB59"/>
              </a:solidFill>
              <a:prstDash val="dash"/>
            </a:ln>
          </c:spPr>
          <c:marker>
            <c:symbol val="none"/>
          </c:marker>
          <c:xVal>
            <c:numRef>
              <c:f>flex!$N$44:$N$58</c:f>
              <c:numCache>
                <c:formatCode>0.00</c:formatCode>
                <c:ptCount val="15"/>
                <c:pt idx="0">
                  <c:v>15.0</c:v>
                </c:pt>
                <c:pt idx="1">
                  <c:v>30.0</c:v>
                </c:pt>
                <c:pt idx="2">
                  <c:v>45.0</c:v>
                </c:pt>
                <c:pt idx="3">
                  <c:v>60.0</c:v>
                </c:pt>
                <c:pt idx="4">
                  <c:v>75.0</c:v>
                </c:pt>
                <c:pt idx="5">
                  <c:v>90.0</c:v>
                </c:pt>
                <c:pt idx="6">
                  <c:v>105.0</c:v>
                </c:pt>
                <c:pt idx="7">
                  <c:v>120.0</c:v>
                </c:pt>
                <c:pt idx="8">
                  <c:v>135.0</c:v>
                </c:pt>
                <c:pt idx="9">
                  <c:v>150.0</c:v>
                </c:pt>
                <c:pt idx="10">
                  <c:v>165.0</c:v>
                </c:pt>
                <c:pt idx="11">
                  <c:v>180.0</c:v>
                </c:pt>
                <c:pt idx="12">
                  <c:v>195.0</c:v>
                </c:pt>
                <c:pt idx="13">
                  <c:v>210.0</c:v>
                </c:pt>
                <c:pt idx="14">
                  <c:v>225.0</c:v>
                </c:pt>
              </c:numCache>
            </c:numRef>
          </c:xVal>
          <c:yVal>
            <c:numRef>
              <c:f>flex!$U$44:$U$58</c:f>
              <c:numCache>
                <c:formatCode>0.00</c:formatCode>
                <c:ptCount val="15"/>
                <c:pt idx="0">
                  <c:v>-0.00866666666666673</c:v>
                </c:pt>
                <c:pt idx="1">
                  <c:v>-0.000666666666666732</c:v>
                </c:pt>
                <c:pt idx="2">
                  <c:v>0.00733333333333327</c:v>
                </c:pt>
                <c:pt idx="3">
                  <c:v>0.0153333333333333</c:v>
                </c:pt>
                <c:pt idx="4">
                  <c:v>0.0233333333333333</c:v>
                </c:pt>
                <c:pt idx="5">
                  <c:v>0.0313333333333333</c:v>
                </c:pt>
                <c:pt idx="6">
                  <c:v>0.0393333333333333</c:v>
                </c:pt>
                <c:pt idx="7">
                  <c:v>0.0473333333333333</c:v>
                </c:pt>
                <c:pt idx="8">
                  <c:v>0.0553333333333333</c:v>
                </c:pt>
                <c:pt idx="9">
                  <c:v>0.0633333333333333</c:v>
                </c:pt>
                <c:pt idx="10">
                  <c:v>0.0713333333333333</c:v>
                </c:pt>
                <c:pt idx="11">
                  <c:v>0.0793333333333333</c:v>
                </c:pt>
                <c:pt idx="12">
                  <c:v>0.0873333333333332</c:v>
                </c:pt>
                <c:pt idx="13">
                  <c:v>0.0953333333333332</c:v>
                </c:pt>
                <c:pt idx="14">
                  <c:v>0.103333333333333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1557176"/>
        <c:axId val="-2051806120"/>
      </c:scatterChart>
      <c:valAx>
        <c:axId val="-2051557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/>
                  <a:t>Y</a:t>
                </a:r>
              </a:p>
            </c:rich>
          </c:tx>
          <c:layout>
            <c:manualLayout>
              <c:xMode val="edge"/>
              <c:yMode val="edge"/>
              <c:x val="0.611558398950131"/>
              <c:y val="0.842592592592593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-2051806120"/>
        <c:crosses val="autoZero"/>
        <c:crossBetween val="midCat"/>
      </c:valAx>
      <c:valAx>
        <c:axId val="-2051806120"/>
        <c:scaling>
          <c:orientation val="minMax"/>
        </c:scaling>
        <c:delete val="0"/>
        <c:axPos val="l"/>
        <c:title>
          <c:layout>
            <c:manualLayout>
              <c:xMode val="edge"/>
              <c:yMode val="edge"/>
              <c:x val="0.0916666666666666"/>
              <c:y val="0.0502854330708661"/>
            </c:manualLayout>
          </c:layout>
          <c:overlay val="0"/>
          <c:txPr>
            <a:bodyPr rot="0" vert="horz"/>
            <a:lstStyle/>
            <a:p>
              <a:pPr>
                <a:defRPr b="0"/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crossAx val="-2051557176"/>
        <c:crosses val="autoZero"/>
        <c:crossBetween val="midCat"/>
      </c:valAx>
      <c:spPr>
        <a:solidFill>
          <a:srgbClr val="C3EFCD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674815273947513"/>
          <c:y val="0.0706224629576102"/>
          <c:w val="0.299989063867017"/>
          <c:h val="0.363197725284339"/>
        </c:manualLayout>
      </c:layout>
      <c:overlay val="0"/>
    </c:legend>
    <c:plotVisOnly val="1"/>
    <c:dispBlanksAs val="gap"/>
    <c:showDLblsOverMax val="0"/>
  </c:chart>
  <c:spPr>
    <a:solidFill>
      <a:srgbClr val="BEF1CF"/>
    </a:solidFill>
    <a:ln>
      <a:noFill/>
    </a:ln>
  </c:spPr>
  <c:txPr>
    <a:bodyPr/>
    <a:lstStyle/>
    <a:p>
      <a:pPr>
        <a:defRPr>
          <a:latin typeface="Bookman Old Style"/>
          <a:cs typeface="Bookman Old Style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165100</xdr:colOff>
      <xdr:row>61</xdr:row>
      <xdr:rowOff>33867</xdr:rowOff>
    </xdr:from>
    <xdr:to>
      <xdr:col>8</xdr:col>
      <xdr:colOff>165100</xdr:colOff>
      <xdr:row>83</xdr:row>
      <xdr:rowOff>46567</xdr:rowOff>
    </xdr:to>
    <xdr:graphicFrame macro="">
      <xdr:nvGraphicFramePr>
        <xdr:cNvPr id="133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8"/>
  <sheetViews>
    <sheetView tabSelected="1" topLeftCell="B9" zoomScale="150" zoomScaleNormal="150" zoomScalePageLayoutView="150" workbookViewId="0">
      <selection activeCell="H32" sqref="H32"/>
    </sheetView>
  </sheetViews>
  <sheetFormatPr baseColWidth="10" defaultColWidth="8.7109375" defaultRowHeight="15" x14ac:dyDescent="0"/>
  <cols>
    <col min="1" max="1" width="8.7109375" style="2"/>
    <col min="2" max="2" width="9.5703125" style="2" customWidth="1"/>
    <col min="3" max="3" width="13" style="2" customWidth="1"/>
    <col min="4" max="4" width="9.5703125" style="2" customWidth="1"/>
    <col min="5" max="5" width="9" style="2" bestFit="1" customWidth="1"/>
    <col min="6" max="16384" width="8.7109375" style="2"/>
  </cols>
  <sheetData>
    <row r="1" spans="1:21">
      <c r="A1" s="2" t="s">
        <v>2</v>
      </c>
      <c r="D1" s="3" t="s">
        <v>34</v>
      </c>
      <c r="E1" s="3" t="s">
        <v>33</v>
      </c>
      <c r="G1" s="4"/>
    </row>
    <row r="2" spans="1:21" ht="17">
      <c r="A2" s="2" t="s">
        <v>11</v>
      </c>
      <c r="D2" s="5">
        <v>10</v>
      </c>
      <c r="E2" s="1">
        <f t="shared" ref="E2:E8" si="0">+D2</f>
        <v>10</v>
      </c>
      <c r="G2" s="4" t="s">
        <v>44</v>
      </c>
    </row>
    <row r="3" spans="1:21" ht="17">
      <c r="A3" s="2" t="s">
        <v>10</v>
      </c>
      <c r="D3" s="5">
        <v>0.7</v>
      </c>
      <c r="E3" s="1">
        <f t="shared" si="0"/>
        <v>0.7</v>
      </c>
      <c r="G3" s="2" t="s">
        <v>45</v>
      </c>
    </row>
    <row r="4" spans="1:21" ht="17">
      <c r="A4" s="2" t="s">
        <v>17</v>
      </c>
      <c r="D4" s="5">
        <v>0.04</v>
      </c>
      <c r="E4" s="1">
        <f>+D4</f>
        <v>0.04</v>
      </c>
      <c r="G4" s="2" t="s">
        <v>46</v>
      </c>
    </row>
    <row r="5" spans="1:21" ht="17">
      <c r="A5" s="2" t="s">
        <v>28</v>
      </c>
      <c r="D5" s="5">
        <v>1.2</v>
      </c>
      <c r="E5" s="1">
        <f>+D5</f>
        <v>1.2</v>
      </c>
      <c r="G5" s="2" t="s">
        <v>47</v>
      </c>
    </row>
    <row r="6" spans="1:21" ht="17">
      <c r="A6" s="2" t="s">
        <v>29</v>
      </c>
      <c r="D6" s="5">
        <v>4</v>
      </c>
      <c r="E6" s="1">
        <f>+D6</f>
        <v>4</v>
      </c>
      <c r="G6" s="2" t="s">
        <v>50</v>
      </c>
    </row>
    <row r="7" spans="1:21" ht="17">
      <c r="A7" s="2" t="s">
        <v>18</v>
      </c>
      <c r="D7" s="5">
        <v>0.2</v>
      </c>
      <c r="E7" s="1">
        <f t="shared" si="0"/>
        <v>0.2</v>
      </c>
      <c r="G7" s="2" t="s">
        <v>51</v>
      </c>
    </row>
    <row r="8" spans="1:21" ht="17">
      <c r="A8" s="2" t="s">
        <v>19</v>
      </c>
      <c r="D8" s="5">
        <v>0.05</v>
      </c>
      <c r="E8" s="1">
        <f t="shared" si="0"/>
        <v>0.05</v>
      </c>
      <c r="G8" s="2" t="s">
        <v>52</v>
      </c>
    </row>
    <row r="9" spans="1:21" ht="17">
      <c r="A9" s="2" t="s">
        <v>20</v>
      </c>
      <c r="D9" s="5">
        <v>27</v>
      </c>
      <c r="E9" s="1">
        <f>+D9</f>
        <v>27</v>
      </c>
      <c r="G9" s="2" t="s">
        <v>53</v>
      </c>
    </row>
    <row r="10" spans="1:21" ht="17">
      <c r="A10" s="2" t="s">
        <v>21</v>
      </c>
      <c r="D10" s="5">
        <v>20</v>
      </c>
      <c r="E10" s="1">
        <v>50</v>
      </c>
      <c r="G10" s="2" t="s">
        <v>54</v>
      </c>
      <c r="N10" s="2" t="s">
        <v>56</v>
      </c>
    </row>
    <row r="11" spans="1:21" ht="17">
      <c r="A11" s="2" t="s">
        <v>43</v>
      </c>
      <c r="D11" s="5">
        <f ca="1">+F24</f>
        <v>0.99999999999999556</v>
      </c>
      <c r="E11" s="1">
        <f ca="1">+D11</f>
        <v>0.99999999999999556</v>
      </c>
      <c r="G11" s="2" t="s">
        <v>55</v>
      </c>
      <c r="N11" s="2" t="s">
        <v>31</v>
      </c>
    </row>
    <row r="12" spans="1:21" ht="17">
      <c r="A12" s="2" t="s">
        <v>30</v>
      </c>
      <c r="D12" s="5">
        <v>100</v>
      </c>
      <c r="E12" s="17">
        <v>30</v>
      </c>
      <c r="N12" s="3">
        <v>15</v>
      </c>
    </row>
    <row r="13" spans="1:21" ht="17">
      <c r="A13" s="2" t="s">
        <v>22</v>
      </c>
      <c r="D13" s="5">
        <v>1</v>
      </c>
      <c r="E13" s="1">
        <v>1</v>
      </c>
      <c r="N13" s="6" t="s">
        <v>0</v>
      </c>
      <c r="O13" s="6" t="s">
        <v>1</v>
      </c>
      <c r="P13" s="6" t="s">
        <v>13</v>
      </c>
      <c r="Q13" s="6" t="s">
        <v>15</v>
      </c>
      <c r="R13" s="6" t="s">
        <v>24</v>
      </c>
      <c r="S13" s="6" t="s">
        <v>26</v>
      </c>
      <c r="T13" s="6" t="s">
        <v>25</v>
      </c>
      <c r="U13" s="7" t="s">
        <v>27</v>
      </c>
    </row>
    <row r="14" spans="1:21" ht="17">
      <c r="A14" s="2" t="s">
        <v>23</v>
      </c>
      <c r="D14" s="5">
        <v>0.04</v>
      </c>
      <c r="E14" s="1">
        <f>+D14</f>
        <v>0.04</v>
      </c>
      <c r="N14" s="3">
        <v>15</v>
      </c>
      <c r="O14" s="3">
        <f>$D$2+$D$3*(1-$D$7)*N14</f>
        <v>18.399999999999999</v>
      </c>
      <c r="P14" s="3">
        <f t="shared" ref="P14:P28" si="1">+N14-O14-Q14-R14</f>
        <v>-28</v>
      </c>
      <c r="Q14" s="3">
        <f>+D19</f>
        <v>20</v>
      </c>
      <c r="R14" s="3">
        <f t="shared" ref="R14:R28" si="2">$D$6+$D$13*$D$5-$D$13*$D$4*N14</f>
        <v>4.6000000000000005</v>
      </c>
      <c r="S14" s="3">
        <f t="shared" ref="S14:S28" si="3">(+$D$9-P14)/$D$10</f>
        <v>2.75</v>
      </c>
      <c r="T14" s="3">
        <f t="shared" ref="T14:T28" si="4">+$D$14-R14/$D$12</f>
        <v>-6.0000000000000053E-3</v>
      </c>
      <c r="U14" s="3">
        <f t="shared" ref="U14:U28" ca="1" si="5">+($D$17*N14-$D$16)/$D$18+$D$14</f>
        <v>-8.6666666666666073E-3</v>
      </c>
    </row>
    <row r="15" spans="1:21" ht="17">
      <c r="A15" s="2" t="s">
        <v>12</v>
      </c>
      <c r="D15" s="5">
        <f ca="1">+B23</f>
        <v>125.00000000000011</v>
      </c>
      <c r="E15" s="1">
        <f ca="1">+D15</f>
        <v>125.00000000000011</v>
      </c>
      <c r="N15" s="3">
        <f t="shared" ref="N15:N28" si="6">+N14+$N$12</f>
        <v>30</v>
      </c>
      <c r="O15" s="3">
        <f t="shared" ref="O15:O28" si="7">$D$2+$D$3*(1-$D$7)*N15</f>
        <v>26.799999999999997</v>
      </c>
      <c r="P15" s="3">
        <f t="shared" si="1"/>
        <v>-20.799999999999997</v>
      </c>
      <c r="Q15" s="3">
        <f>+Q14</f>
        <v>20</v>
      </c>
      <c r="R15" s="3">
        <f t="shared" si="2"/>
        <v>4</v>
      </c>
      <c r="S15" s="3">
        <f t="shared" si="3"/>
        <v>2.3899999999999997</v>
      </c>
      <c r="T15" s="3">
        <f t="shared" si="4"/>
        <v>0</v>
      </c>
      <c r="U15" s="3">
        <f t="shared" ca="1" si="5"/>
        <v>-6.6666666666660712E-4</v>
      </c>
    </row>
    <row r="16" spans="1:21" ht="17">
      <c r="A16" s="2" t="s">
        <v>40</v>
      </c>
      <c r="D16" s="5">
        <f ca="1">+k*D15-h*(D8-D14)</f>
        <v>42.50000000000005</v>
      </c>
      <c r="E16" s="18">
        <f ca="1">+D16</f>
        <v>42.50000000000005</v>
      </c>
      <c r="N16" s="3">
        <f t="shared" si="6"/>
        <v>45</v>
      </c>
      <c r="O16" s="3">
        <f t="shared" si="7"/>
        <v>35.199999999999996</v>
      </c>
      <c r="P16" s="3">
        <f t="shared" si="1"/>
        <v>-13.599999999999996</v>
      </c>
      <c r="Q16" s="3">
        <f t="shared" ref="Q16:Q28" si="8">+Q15</f>
        <v>20</v>
      </c>
      <c r="R16" s="3">
        <f t="shared" si="2"/>
        <v>3.4000000000000004</v>
      </c>
      <c r="S16" s="3">
        <f t="shared" si="3"/>
        <v>2.0299999999999998</v>
      </c>
      <c r="T16" s="3">
        <f t="shared" si="4"/>
        <v>5.9999999999999984E-3</v>
      </c>
      <c r="U16" s="3">
        <f t="shared" ca="1" si="5"/>
        <v>7.3333333333332681E-3</v>
      </c>
    </row>
    <row r="17" spans="1:21" ht="17">
      <c r="A17" s="2" t="s">
        <v>41</v>
      </c>
      <c r="D17" s="5">
        <v>0.4</v>
      </c>
      <c r="E17" s="18">
        <f>+D17</f>
        <v>0.4</v>
      </c>
      <c r="N17" s="3">
        <f t="shared" si="6"/>
        <v>60</v>
      </c>
      <c r="O17" s="3">
        <f t="shared" si="7"/>
        <v>43.599999999999994</v>
      </c>
      <c r="P17" s="3">
        <f t="shared" si="1"/>
        <v>-6.399999999999995</v>
      </c>
      <c r="Q17" s="3">
        <f t="shared" si="8"/>
        <v>20</v>
      </c>
      <c r="R17" s="3">
        <f t="shared" si="2"/>
        <v>2.8000000000000003</v>
      </c>
      <c r="S17" s="3">
        <f t="shared" si="3"/>
        <v>1.6699999999999995</v>
      </c>
      <c r="T17" s="3">
        <f t="shared" si="4"/>
        <v>1.1999999999999997E-2</v>
      </c>
      <c r="U17" s="3">
        <f t="shared" ca="1" si="5"/>
        <v>1.5333333333333268E-2</v>
      </c>
    </row>
    <row r="18" spans="1:21" ht="17">
      <c r="A18" s="2" t="s">
        <v>42</v>
      </c>
      <c r="C18" s="3"/>
      <c r="D18" s="5">
        <v>750</v>
      </c>
      <c r="E18" s="1">
        <v>750</v>
      </c>
      <c r="N18" s="3">
        <f t="shared" si="6"/>
        <v>75</v>
      </c>
      <c r="O18" s="3">
        <f t="shared" si="7"/>
        <v>51.999999999999993</v>
      </c>
      <c r="P18" s="3">
        <f t="shared" si="1"/>
        <v>0.80000000000000693</v>
      </c>
      <c r="Q18" s="3">
        <f t="shared" si="8"/>
        <v>20</v>
      </c>
      <c r="R18" s="3">
        <f t="shared" si="2"/>
        <v>2.2000000000000002</v>
      </c>
      <c r="S18" s="3">
        <f t="shared" si="3"/>
        <v>1.3099999999999996</v>
      </c>
      <c r="T18" s="3">
        <f t="shared" si="4"/>
        <v>1.7999999999999999E-2</v>
      </c>
      <c r="U18" s="3">
        <f t="shared" ca="1" si="5"/>
        <v>2.3333333333333268E-2</v>
      </c>
    </row>
    <row r="19" spans="1:21" ht="17">
      <c r="A19" s="2" t="s">
        <v>14</v>
      </c>
      <c r="D19" s="5">
        <v>20</v>
      </c>
      <c r="E19" s="18">
        <v>30</v>
      </c>
      <c r="N19" s="3">
        <f t="shared" si="6"/>
        <v>90</v>
      </c>
      <c r="O19" s="3">
        <f t="shared" si="7"/>
        <v>60.399999999999991</v>
      </c>
      <c r="P19" s="3">
        <f t="shared" si="1"/>
        <v>8.0000000000000089</v>
      </c>
      <c r="Q19" s="3">
        <f t="shared" si="8"/>
        <v>20</v>
      </c>
      <c r="R19" s="3">
        <f t="shared" si="2"/>
        <v>1.6</v>
      </c>
      <c r="S19" s="3">
        <f t="shared" si="3"/>
        <v>0.94999999999999962</v>
      </c>
      <c r="T19" s="3">
        <f t="shared" si="4"/>
        <v>2.4E-2</v>
      </c>
      <c r="U19" s="3">
        <f t="shared" ca="1" si="5"/>
        <v>3.1333333333333269E-2</v>
      </c>
    </row>
    <row r="20" spans="1:21" ht="18" customHeight="1">
      <c r="A20" s="2" t="s">
        <v>3</v>
      </c>
      <c r="N20" s="3">
        <f t="shared" si="6"/>
        <v>105</v>
      </c>
      <c r="O20" s="3">
        <f t="shared" si="7"/>
        <v>68.8</v>
      </c>
      <c r="P20" s="3">
        <f t="shared" si="1"/>
        <v>15.200000000000003</v>
      </c>
      <c r="Q20" s="3">
        <f t="shared" si="8"/>
        <v>20</v>
      </c>
      <c r="R20" s="3">
        <f t="shared" si="2"/>
        <v>1</v>
      </c>
      <c r="S20" s="3">
        <f t="shared" si="3"/>
        <v>0.58999999999999986</v>
      </c>
      <c r="T20" s="3">
        <f t="shared" si="4"/>
        <v>0.03</v>
      </c>
      <c r="U20" s="3">
        <f t="shared" ca="1" si="5"/>
        <v>3.9333333333333269E-2</v>
      </c>
    </row>
    <row r="21" spans="1:21">
      <c r="A21" s="8"/>
      <c r="B21" s="8" t="s">
        <v>4</v>
      </c>
      <c r="C21" s="8" t="s">
        <v>5</v>
      </c>
      <c r="D21" s="8" t="s">
        <v>6</v>
      </c>
      <c r="E21" s="6" t="s">
        <v>14</v>
      </c>
      <c r="F21" s="6" t="s">
        <v>16</v>
      </c>
      <c r="G21" s="6" t="s">
        <v>7</v>
      </c>
      <c r="N21" s="3">
        <f t="shared" si="6"/>
        <v>120</v>
      </c>
      <c r="O21" s="3">
        <f t="shared" si="7"/>
        <v>77.199999999999989</v>
      </c>
      <c r="P21" s="3">
        <f t="shared" si="1"/>
        <v>22.400000000000013</v>
      </c>
      <c r="Q21" s="3">
        <f t="shared" si="8"/>
        <v>20</v>
      </c>
      <c r="R21" s="3">
        <f t="shared" si="2"/>
        <v>0.40000000000000036</v>
      </c>
      <c r="S21" s="3">
        <f t="shared" si="3"/>
        <v>0.22999999999999937</v>
      </c>
      <c r="T21" s="3">
        <f t="shared" si="4"/>
        <v>3.5999999999999997E-2</v>
      </c>
      <c r="U21" s="3">
        <f t="shared" ca="1" si="5"/>
        <v>4.7333333333333269E-2</v>
      </c>
    </row>
    <row r="22" spans="1:21" ht="17">
      <c r="A22" s="2" t="s">
        <v>4</v>
      </c>
      <c r="B22" s="3"/>
      <c r="C22" s="3">
        <f ca="1">+D2+D3*(C27-C25)</f>
        <v>80.000000000000099</v>
      </c>
      <c r="D22" s="9">
        <f>+D9-D10*D8</f>
        <v>26</v>
      </c>
      <c r="E22" s="16">
        <v>20</v>
      </c>
      <c r="F22" s="3">
        <v>4</v>
      </c>
      <c r="G22" s="3">
        <f ca="1">SUM(B22:F22)</f>
        <v>130.00000000000011</v>
      </c>
      <c r="N22" s="3">
        <f t="shared" si="6"/>
        <v>135</v>
      </c>
      <c r="O22" s="3">
        <f t="shared" si="7"/>
        <v>85.6</v>
      </c>
      <c r="P22" s="3">
        <f t="shared" si="1"/>
        <v>29.600000000000005</v>
      </c>
      <c r="Q22" s="3">
        <f t="shared" si="8"/>
        <v>20</v>
      </c>
      <c r="R22" s="3">
        <f t="shared" si="2"/>
        <v>-0.20000000000000018</v>
      </c>
      <c r="S22" s="3">
        <f t="shared" si="3"/>
        <v>-0.13000000000000025</v>
      </c>
      <c r="T22" s="3">
        <f t="shared" si="4"/>
        <v>4.2000000000000003E-2</v>
      </c>
      <c r="U22" s="3">
        <f t="shared" ca="1" si="5"/>
        <v>5.5333333333333269E-2</v>
      </c>
    </row>
    <row r="23" spans="1:21">
      <c r="A23" s="2" t="s">
        <v>8</v>
      </c>
      <c r="B23" s="3">
        <f ca="1">B27-B26</f>
        <v>124.99999999999989</v>
      </c>
      <c r="C23" s="3"/>
      <c r="D23" s="3"/>
      <c r="E23" s="3"/>
      <c r="F23" s="3"/>
      <c r="G23" s="3">
        <f t="shared" ref="G23:G26" ca="1" si="9">SUM(B23:F23)</f>
        <v>124.99999999999989</v>
      </c>
      <c r="N23" s="3">
        <f t="shared" si="6"/>
        <v>150</v>
      </c>
      <c r="O23" s="3">
        <f t="shared" si="7"/>
        <v>93.999999999999986</v>
      </c>
      <c r="P23" s="3">
        <f t="shared" si="1"/>
        <v>36.800000000000011</v>
      </c>
      <c r="Q23" s="3">
        <f t="shared" si="8"/>
        <v>20</v>
      </c>
      <c r="R23" s="3">
        <f t="shared" si="2"/>
        <v>-0.79999999999999982</v>
      </c>
      <c r="S23" s="3">
        <f t="shared" si="3"/>
        <v>-0.49000000000000055</v>
      </c>
      <c r="T23" s="3">
        <f t="shared" si="4"/>
        <v>4.8000000000000001E-2</v>
      </c>
      <c r="U23" s="3">
        <f t="shared" ca="1" si="5"/>
        <v>6.3333333333333269E-2</v>
      </c>
    </row>
    <row r="24" spans="1:21">
      <c r="A24" s="2" t="s">
        <v>9</v>
      </c>
      <c r="B24" s="3"/>
      <c r="C24" s="3">
        <f ca="1">+C27-C25-C22</f>
        <v>20.000000000000043</v>
      </c>
      <c r="D24" s="3"/>
      <c r="E24" s="3">
        <f ca="1">+E27-E23-E22</f>
        <v>4.9999999999999787</v>
      </c>
      <c r="F24" s="3">
        <f ca="1">+F27-F22</f>
        <v>1.0000000000000044</v>
      </c>
      <c r="G24" s="3">
        <f t="shared" ca="1" si="9"/>
        <v>26.000000000000025</v>
      </c>
      <c r="N24" s="3">
        <f t="shared" si="6"/>
        <v>165</v>
      </c>
      <c r="O24" s="3">
        <f t="shared" si="7"/>
        <v>102.39999999999999</v>
      </c>
      <c r="P24" s="3">
        <f t="shared" si="1"/>
        <v>44.000000000000007</v>
      </c>
      <c r="Q24" s="3">
        <f t="shared" si="8"/>
        <v>20</v>
      </c>
      <c r="R24" s="3">
        <f t="shared" si="2"/>
        <v>-1.4000000000000004</v>
      </c>
      <c r="S24" s="3">
        <f t="shared" si="3"/>
        <v>-0.85000000000000031</v>
      </c>
      <c r="T24" s="3">
        <f t="shared" si="4"/>
        <v>5.4000000000000006E-2</v>
      </c>
      <c r="U24" s="3">
        <f t="shared" ca="1" si="5"/>
        <v>7.1333333333333276E-2</v>
      </c>
    </row>
    <row r="25" spans="1:21">
      <c r="A25" s="2" t="s">
        <v>14</v>
      </c>
      <c r="C25" s="3">
        <f ca="1">+C27*D7</f>
        <v>25.000000000000025</v>
      </c>
      <c r="F25" s="3"/>
      <c r="G25" s="3">
        <f t="shared" ca="1" si="9"/>
        <v>25.000000000000025</v>
      </c>
      <c r="N25" s="3">
        <f t="shared" si="6"/>
        <v>180</v>
      </c>
      <c r="O25" s="3">
        <f t="shared" si="7"/>
        <v>110.79999999999998</v>
      </c>
      <c r="P25" s="3">
        <f t="shared" si="1"/>
        <v>51.200000000000017</v>
      </c>
      <c r="Q25" s="3">
        <f t="shared" si="8"/>
        <v>20</v>
      </c>
      <c r="R25" s="3">
        <f t="shared" si="2"/>
        <v>-2</v>
      </c>
      <c r="S25" s="3">
        <f t="shared" si="3"/>
        <v>-1.2100000000000009</v>
      </c>
      <c r="T25" s="3">
        <f t="shared" si="4"/>
        <v>0.06</v>
      </c>
      <c r="U25" s="3">
        <f t="shared" ca="1" si="5"/>
        <v>7.933333333333327E-2</v>
      </c>
    </row>
    <row r="26" spans="1:21">
      <c r="A26" s="8" t="s">
        <v>16</v>
      </c>
      <c r="B26" s="6">
        <f ca="1">+D4*B23</f>
        <v>4.9999999999999956</v>
      </c>
      <c r="C26" s="6"/>
      <c r="D26" s="6"/>
      <c r="E26" s="6"/>
      <c r="F26" s="6"/>
      <c r="G26" s="3">
        <f t="shared" ca="1" si="9"/>
        <v>4.9999999999999956</v>
      </c>
      <c r="N26" s="3">
        <f t="shared" si="6"/>
        <v>195</v>
      </c>
      <c r="O26" s="3">
        <f t="shared" si="7"/>
        <v>119.19999999999999</v>
      </c>
      <c r="P26" s="3">
        <f t="shared" si="1"/>
        <v>58.400000000000013</v>
      </c>
      <c r="Q26" s="3">
        <f t="shared" si="8"/>
        <v>20</v>
      </c>
      <c r="R26" s="3">
        <f t="shared" si="2"/>
        <v>-2.5999999999999996</v>
      </c>
      <c r="S26" s="3">
        <f t="shared" si="3"/>
        <v>-1.5700000000000007</v>
      </c>
      <c r="T26" s="3">
        <f t="shared" si="4"/>
        <v>6.6000000000000003E-2</v>
      </c>
      <c r="U26" s="3">
        <f t="shared" ca="1" si="5"/>
        <v>8.7333333333333263E-2</v>
      </c>
    </row>
    <row r="27" spans="1:21">
      <c r="A27" s="2" t="s">
        <v>7</v>
      </c>
      <c r="B27" s="3">
        <f ca="1">G22</f>
        <v>130.00000000000011</v>
      </c>
      <c r="C27" s="3">
        <f ca="1">G23</f>
        <v>124.99999999999989</v>
      </c>
      <c r="D27" s="3">
        <f>D22</f>
        <v>26</v>
      </c>
      <c r="E27" s="3">
        <f ca="1">+G25</f>
        <v>25.000000000000025</v>
      </c>
      <c r="F27" s="3">
        <f ca="1">+G26</f>
        <v>4.9999999999999956</v>
      </c>
      <c r="N27" s="3">
        <f t="shared" si="6"/>
        <v>210</v>
      </c>
      <c r="O27" s="3">
        <f t="shared" si="7"/>
        <v>127.6</v>
      </c>
      <c r="P27" s="3">
        <f t="shared" si="1"/>
        <v>65.600000000000009</v>
      </c>
      <c r="Q27" s="3">
        <f t="shared" si="8"/>
        <v>20</v>
      </c>
      <c r="R27" s="3">
        <f t="shared" si="2"/>
        <v>-3.2</v>
      </c>
      <c r="S27" s="3">
        <f t="shared" si="3"/>
        <v>-1.9300000000000004</v>
      </c>
      <c r="T27" s="3">
        <f t="shared" si="4"/>
        <v>7.2000000000000008E-2</v>
      </c>
      <c r="U27" s="3">
        <f t="shared" ca="1" si="5"/>
        <v>9.533333333333327E-2</v>
      </c>
    </row>
    <row r="28" spans="1:21">
      <c r="N28" s="3">
        <f t="shared" si="6"/>
        <v>225</v>
      </c>
      <c r="O28" s="3">
        <f t="shared" si="7"/>
        <v>136</v>
      </c>
      <c r="P28" s="3">
        <f t="shared" si="1"/>
        <v>72.8</v>
      </c>
      <c r="Q28" s="3">
        <f t="shared" si="8"/>
        <v>20</v>
      </c>
      <c r="R28" s="3">
        <f t="shared" si="2"/>
        <v>-3.8</v>
      </c>
      <c r="S28" s="3">
        <f t="shared" si="3"/>
        <v>-2.29</v>
      </c>
      <c r="T28" s="3">
        <f t="shared" si="4"/>
        <v>7.8E-2</v>
      </c>
      <c r="U28" s="3">
        <f t="shared" ca="1" si="5"/>
        <v>0.10333333333333328</v>
      </c>
    </row>
    <row r="29" spans="1:21">
      <c r="B29" s="3"/>
      <c r="C29" s="3"/>
      <c r="D29" s="3"/>
      <c r="E29" s="3"/>
    </row>
    <row r="30" spans="1:21">
      <c r="A30" s="3"/>
      <c r="B30" s="2" t="s">
        <v>12</v>
      </c>
      <c r="C30" s="10">
        <f ca="1">+G22-B26</f>
        <v>125.00000000000011</v>
      </c>
      <c r="D30" s="10" t="s">
        <v>36</v>
      </c>
      <c r="E30" s="10"/>
      <c r="N30" s="2" t="s">
        <v>32</v>
      </c>
    </row>
    <row r="31" spans="1:21">
      <c r="A31" s="3"/>
      <c r="C31" s="10"/>
      <c r="D31" s="10"/>
      <c r="E31" s="10"/>
    </row>
    <row r="32" spans="1:21">
      <c r="A32" s="3"/>
      <c r="C32" s="10" t="s">
        <v>0</v>
      </c>
      <c r="D32" s="11">
        <f ca="1">alpha*(Abar+(b+F)*M/h-b*istar)/(1+alpha*(b+F)*k/h)</f>
        <v>125</v>
      </c>
      <c r="E32" s="11">
        <f ca="1">alpha*(Abar+(b+F)*M/h-b*istar)/(1+alpha*(b+F)*k/h)</f>
        <v>144.06077348066296</v>
      </c>
    </row>
    <row r="33" spans="1:21">
      <c r="A33" s="3"/>
      <c r="C33" s="10" t="s">
        <v>38</v>
      </c>
      <c r="D33" s="12">
        <f ca="1">(k*D32-M)/h+istar</f>
        <v>4.9999999999999933E-2</v>
      </c>
      <c r="E33" s="12">
        <f ca="1">(k*E32-M)/h+istar</f>
        <v>6.0165745856353522E-2</v>
      </c>
    </row>
    <row r="34" spans="1:21">
      <c r="A34" s="3"/>
      <c r="C34" s="10" t="s">
        <v>39</v>
      </c>
      <c r="D34" s="19">
        <f ca="1">+(D38+D12*(D33-D14))/D39</f>
        <v>1.0000000000728406</v>
      </c>
      <c r="E34" s="19">
        <v>1</v>
      </c>
      <c r="F34" s="10"/>
    </row>
    <row r="35" spans="1:21">
      <c r="A35" s="3"/>
      <c r="C35" s="10" t="s">
        <v>48</v>
      </c>
      <c r="D35" s="3">
        <f ca="1">+D19-t*D32</f>
        <v>-5</v>
      </c>
      <c r="E35" s="3">
        <f ca="1">+E19-t*E32</f>
        <v>1.1878453038674053</v>
      </c>
    </row>
    <row r="36" spans="1:21">
      <c r="A36" s="3"/>
      <c r="C36" s="10" t="s">
        <v>49</v>
      </c>
      <c r="D36" s="3">
        <f ca="1">D34*m_*D32-D6*D34^D5</f>
        <v>1.0000000000145688</v>
      </c>
      <c r="E36" s="3">
        <f ca="1">E34*m_*E32-E6*E34^E5</f>
        <v>1.7624309392265181</v>
      </c>
    </row>
    <row r="37" spans="1:21">
      <c r="A37" s="3"/>
      <c r="C37" s="10"/>
      <c r="D37" s="9">
        <f ca="1">+D34^D5</f>
        <v>1.0000000000874087</v>
      </c>
      <c r="E37" s="9">
        <f>+E34^E5</f>
        <v>1</v>
      </c>
    </row>
    <row r="38" spans="1:21">
      <c r="A38" s="3"/>
      <c r="C38" s="10" t="s">
        <v>57</v>
      </c>
      <c r="D38" s="10">
        <f ca="1">D6*D34^D5</f>
        <v>4.000000000349635</v>
      </c>
      <c r="E38" s="10">
        <f>E6*E34^E5</f>
        <v>4</v>
      </c>
    </row>
    <row r="39" spans="1:21">
      <c r="A39" s="3"/>
      <c r="C39" s="10" t="s">
        <v>59</v>
      </c>
      <c r="D39" s="10">
        <f ca="1">+m_*D32</f>
        <v>5</v>
      </c>
      <c r="E39" s="10">
        <f ca="1">m_*E32</f>
        <v>5.7624309392265181</v>
      </c>
    </row>
    <row r="40" spans="1:21">
      <c r="A40" s="3"/>
      <c r="C40" s="10" t="s">
        <v>58</v>
      </c>
      <c r="D40" s="10">
        <f ca="1">+D38-D39+D12*(D33-D14)</f>
        <v>3.4962821526818288E-10</v>
      </c>
      <c r="E40" s="10">
        <f ca="1">+E38-E34*E39+E12*(E33-E14)</f>
        <v>-1.1574585635359123</v>
      </c>
    </row>
    <row r="41" spans="1:21">
      <c r="A41" s="3"/>
      <c r="C41" s="10"/>
      <c r="D41" s="10"/>
      <c r="E41" s="3"/>
    </row>
    <row r="42" spans="1:21">
      <c r="A42" s="3"/>
      <c r="B42" s="2" t="s">
        <v>35</v>
      </c>
      <c r="D42" s="3">
        <f>1/(1-c_*(1-t))</f>
        <v>2.2727272727272725</v>
      </c>
      <c r="E42" s="3">
        <f>1/(1-c_*(1-t))</f>
        <v>2.2727272727272725</v>
      </c>
    </row>
    <row r="43" spans="1:21" ht="15" customHeight="1">
      <c r="A43" s="3"/>
      <c r="B43" s="2" t="s">
        <v>37</v>
      </c>
      <c r="D43" s="3">
        <f>+cbar+G+Ibar</f>
        <v>57</v>
      </c>
      <c r="E43" s="3">
        <f>+cbar+G+Ibar</f>
        <v>67</v>
      </c>
      <c r="N43" s="6" t="s">
        <v>0</v>
      </c>
      <c r="O43" s="6" t="s">
        <v>1</v>
      </c>
      <c r="P43" s="6" t="s">
        <v>13</v>
      </c>
      <c r="Q43" s="6" t="s">
        <v>15</v>
      </c>
      <c r="R43" s="6" t="s">
        <v>24</v>
      </c>
      <c r="S43" s="6" t="s">
        <v>26</v>
      </c>
      <c r="T43" s="6" t="s">
        <v>25</v>
      </c>
      <c r="U43" s="7" t="s">
        <v>27</v>
      </c>
    </row>
    <row r="44" spans="1:21">
      <c r="A44" s="3"/>
      <c r="C44" s="3" t="s">
        <v>60</v>
      </c>
      <c r="D44" s="20">
        <f>k/h</f>
        <v>5.3333333333333336E-4</v>
      </c>
      <c r="E44" s="20">
        <f>k/h</f>
        <v>5.3333333333333336E-4</v>
      </c>
      <c r="N44" s="3">
        <v>15</v>
      </c>
      <c r="O44" s="3">
        <f>$E$2+$E$3*(1-$E$7)*N44</f>
        <v>18.399999999999999</v>
      </c>
      <c r="P44" s="3">
        <f t="shared" ref="P44:P58" si="10">+N44-O44-Q44-R44</f>
        <v>-38</v>
      </c>
      <c r="Q44" s="3">
        <f>+E19</f>
        <v>30</v>
      </c>
      <c r="R44" s="3">
        <f t="shared" ref="R44:R58" si="11">$E$6+$E$13*$E$5-$E$13*$E$4*N44</f>
        <v>4.6000000000000005</v>
      </c>
      <c r="S44" s="3">
        <f t="shared" ref="S44:S58" si="12">(+$E$9-P44)/$E$10</f>
        <v>1.3</v>
      </c>
      <c r="T44" s="3">
        <f>+$E$14-R44/$E$12</f>
        <v>-0.11333333333333334</v>
      </c>
      <c r="U44" s="3">
        <f t="shared" ref="U44:U58" ca="1" si="13">+($E$17*N44-$E$16)/$E$18+$E$14</f>
        <v>-8.6666666666667322E-3</v>
      </c>
    </row>
    <row r="45" spans="1:21">
      <c r="A45" s="13"/>
      <c r="D45" s="20">
        <f ca="1">+D34*m_/F</f>
        <v>4.0000000002913627E-4</v>
      </c>
      <c r="E45" s="20">
        <f>+E34*m_/F</f>
        <v>1.3333333333333333E-3</v>
      </c>
      <c r="N45" s="3">
        <f t="shared" ref="N45:N58" si="14">+N44+$N$12</f>
        <v>30</v>
      </c>
      <c r="O45" s="3">
        <f t="shared" ref="O45:O58" si="15">$E$2+$E$3*(1-$E$7)*N45</f>
        <v>26.799999999999997</v>
      </c>
      <c r="P45" s="3">
        <f t="shared" si="10"/>
        <v>-30.799999999999997</v>
      </c>
      <c r="Q45" s="3">
        <f>+Q44</f>
        <v>30</v>
      </c>
      <c r="R45" s="3">
        <f t="shared" si="11"/>
        <v>4</v>
      </c>
      <c r="S45" s="3">
        <f t="shared" si="12"/>
        <v>1.1559999999999999</v>
      </c>
      <c r="T45" s="3">
        <f t="shared" ref="T45:T58" si="16">+$E$14-R45/$E$12</f>
        <v>-9.3333333333333324E-2</v>
      </c>
      <c r="U45" s="3">
        <f t="shared" ca="1" si="13"/>
        <v>-6.6666666666673202E-4</v>
      </c>
    </row>
    <row r="46" spans="1:21">
      <c r="A46" s="13"/>
      <c r="E46" s="10"/>
      <c r="N46" s="3">
        <f t="shared" si="14"/>
        <v>45</v>
      </c>
      <c r="O46" s="3">
        <f t="shared" si="15"/>
        <v>35.199999999999996</v>
      </c>
      <c r="P46" s="3">
        <f t="shared" si="10"/>
        <v>-23.599999999999994</v>
      </c>
      <c r="Q46" s="3">
        <f t="shared" ref="Q46:Q58" si="17">+Q45</f>
        <v>30</v>
      </c>
      <c r="R46" s="3">
        <f t="shared" si="11"/>
        <v>3.4000000000000004</v>
      </c>
      <c r="S46" s="3">
        <f t="shared" si="12"/>
        <v>1.0119999999999998</v>
      </c>
      <c r="T46" s="3">
        <f t="shared" si="16"/>
        <v>-7.3333333333333334E-2</v>
      </c>
      <c r="U46" s="3">
        <f t="shared" ca="1" si="13"/>
        <v>7.3333333333332681E-3</v>
      </c>
    </row>
    <row r="47" spans="1:21">
      <c r="A47" s="3"/>
      <c r="E47" s="10"/>
      <c r="N47" s="3">
        <f t="shared" si="14"/>
        <v>60</v>
      </c>
      <c r="O47" s="3">
        <f t="shared" si="15"/>
        <v>43.599999999999994</v>
      </c>
      <c r="P47" s="3">
        <f t="shared" si="10"/>
        <v>-16.399999999999995</v>
      </c>
      <c r="Q47" s="3">
        <f t="shared" si="17"/>
        <v>30</v>
      </c>
      <c r="R47" s="3">
        <f t="shared" si="11"/>
        <v>2.8000000000000003</v>
      </c>
      <c r="S47" s="3">
        <f t="shared" si="12"/>
        <v>0.86799999999999988</v>
      </c>
      <c r="T47" s="3">
        <f t="shared" si="16"/>
        <v>-5.3333333333333337E-2</v>
      </c>
      <c r="U47" s="3">
        <f t="shared" ca="1" si="13"/>
        <v>1.5333333333333268E-2</v>
      </c>
    </row>
    <row r="48" spans="1:21">
      <c r="N48" s="3">
        <f t="shared" si="14"/>
        <v>75</v>
      </c>
      <c r="O48" s="3">
        <f t="shared" si="15"/>
        <v>51.999999999999993</v>
      </c>
      <c r="P48" s="3">
        <f t="shared" si="10"/>
        <v>-9.1999999999999922</v>
      </c>
      <c r="Q48" s="3">
        <f t="shared" si="17"/>
        <v>30</v>
      </c>
      <c r="R48" s="3">
        <f t="shared" si="11"/>
        <v>2.2000000000000002</v>
      </c>
      <c r="S48" s="3">
        <f t="shared" si="12"/>
        <v>0.72399999999999975</v>
      </c>
      <c r="T48" s="3">
        <f t="shared" si="16"/>
        <v>-3.3333333333333333E-2</v>
      </c>
      <c r="U48" s="3">
        <f t="shared" ca="1" si="13"/>
        <v>2.3333333333333268E-2</v>
      </c>
    </row>
    <row r="49" spans="2:21">
      <c r="N49" s="3">
        <f t="shared" si="14"/>
        <v>90</v>
      </c>
      <c r="O49" s="3">
        <f t="shared" si="15"/>
        <v>60.399999999999991</v>
      </c>
      <c r="P49" s="3">
        <f t="shared" si="10"/>
        <v>-1.9999999999999916</v>
      </c>
      <c r="Q49" s="3">
        <f t="shared" si="17"/>
        <v>30</v>
      </c>
      <c r="R49" s="3">
        <f t="shared" si="11"/>
        <v>1.6</v>
      </c>
      <c r="S49" s="3">
        <f t="shared" si="12"/>
        <v>0.57999999999999985</v>
      </c>
      <c r="T49" s="3">
        <f t="shared" si="16"/>
        <v>-1.3333333333333336E-2</v>
      </c>
      <c r="U49" s="3">
        <f t="shared" ca="1" si="13"/>
        <v>3.1333333333333269E-2</v>
      </c>
    </row>
    <row r="50" spans="2:21">
      <c r="N50" s="3">
        <f t="shared" si="14"/>
        <v>105</v>
      </c>
      <c r="O50" s="3">
        <f t="shared" si="15"/>
        <v>68.8</v>
      </c>
      <c r="P50" s="3">
        <f t="shared" si="10"/>
        <v>5.2000000000000028</v>
      </c>
      <c r="Q50" s="3">
        <f t="shared" si="17"/>
        <v>30</v>
      </c>
      <c r="R50" s="3">
        <f t="shared" si="11"/>
        <v>1</v>
      </c>
      <c r="S50" s="3">
        <f t="shared" si="12"/>
        <v>0.43599999999999994</v>
      </c>
      <c r="T50" s="3">
        <f t="shared" si="16"/>
        <v>6.666666666666668E-3</v>
      </c>
      <c r="U50" s="3">
        <f t="shared" ca="1" si="13"/>
        <v>3.9333333333333269E-2</v>
      </c>
    </row>
    <row r="51" spans="2:21">
      <c r="B51" s="3"/>
      <c r="D51" s="3"/>
      <c r="E51" s="3"/>
      <c r="N51" s="3">
        <f t="shared" si="14"/>
        <v>120</v>
      </c>
      <c r="O51" s="3">
        <f t="shared" si="15"/>
        <v>77.199999999999989</v>
      </c>
      <c r="P51" s="3">
        <f t="shared" si="10"/>
        <v>12.400000000000011</v>
      </c>
      <c r="Q51" s="3">
        <f t="shared" si="17"/>
        <v>30</v>
      </c>
      <c r="R51" s="3">
        <f t="shared" si="11"/>
        <v>0.40000000000000036</v>
      </c>
      <c r="S51" s="3">
        <f t="shared" si="12"/>
        <v>0.29199999999999976</v>
      </c>
      <c r="T51" s="3">
        <f t="shared" si="16"/>
        <v>2.6666666666666658E-2</v>
      </c>
      <c r="U51" s="3">
        <f t="shared" ca="1" si="13"/>
        <v>4.7333333333333269E-2</v>
      </c>
    </row>
    <row r="52" spans="2:21">
      <c r="B52" s="14"/>
      <c r="C52" s="3"/>
      <c r="D52" s="15"/>
      <c r="E52" s="15"/>
      <c r="N52" s="3">
        <f t="shared" si="14"/>
        <v>135</v>
      </c>
      <c r="O52" s="3">
        <f t="shared" si="15"/>
        <v>85.6</v>
      </c>
      <c r="P52" s="3">
        <f t="shared" si="10"/>
        <v>19.600000000000005</v>
      </c>
      <c r="Q52" s="3">
        <f t="shared" si="17"/>
        <v>30</v>
      </c>
      <c r="R52" s="3">
        <f t="shared" si="11"/>
        <v>-0.20000000000000018</v>
      </c>
      <c r="S52" s="3">
        <f t="shared" si="12"/>
        <v>0.14799999999999991</v>
      </c>
      <c r="T52" s="3">
        <f t="shared" si="16"/>
        <v>4.6666666666666676E-2</v>
      </c>
      <c r="U52" s="3">
        <f t="shared" ca="1" si="13"/>
        <v>5.5333333333333269E-2</v>
      </c>
    </row>
    <row r="53" spans="2:21">
      <c r="B53" s="14"/>
      <c r="D53" s="3"/>
      <c r="E53" s="3"/>
      <c r="N53" s="3">
        <f t="shared" si="14"/>
        <v>150</v>
      </c>
      <c r="O53" s="3">
        <f t="shared" si="15"/>
        <v>93.999999999999986</v>
      </c>
      <c r="P53" s="3">
        <f t="shared" si="10"/>
        <v>26.800000000000015</v>
      </c>
      <c r="Q53" s="3">
        <f t="shared" si="17"/>
        <v>30</v>
      </c>
      <c r="R53" s="3">
        <f t="shared" si="11"/>
        <v>-0.79999999999999982</v>
      </c>
      <c r="S53" s="3">
        <f t="shared" si="12"/>
        <v>3.9999999999997017E-3</v>
      </c>
      <c r="T53" s="3">
        <f t="shared" si="16"/>
        <v>6.6666666666666666E-2</v>
      </c>
      <c r="U53" s="3">
        <f t="shared" ca="1" si="13"/>
        <v>6.3333333333333269E-2</v>
      </c>
    </row>
    <row r="54" spans="2:21">
      <c r="D54" s="3"/>
      <c r="E54" s="3"/>
      <c r="N54" s="3">
        <f t="shared" si="14"/>
        <v>165</v>
      </c>
      <c r="O54" s="3">
        <f t="shared" si="15"/>
        <v>102.39999999999999</v>
      </c>
      <c r="P54" s="3">
        <f t="shared" si="10"/>
        <v>34.000000000000007</v>
      </c>
      <c r="Q54" s="3">
        <f t="shared" si="17"/>
        <v>30</v>
      </c>
      <c r="R54" s="3">
        <f t="shared" si="11"/>
        <v>-1.4000000000000004</v>
      </c>
      <c r="S54" s="3">
        <f t="shared" si="12"/>
        <v>-0.14000000000000015</v>
      </c>
      <c r="T54" s="3">
        <f t="shared" si="16"/>
        <v>8.666666666666667E-2</v>
      </c>
      <c r="U54" s="3">
        <f t="shared" ca="1" si="13"/>
        <v>7.1333333333333276E-2</v>
      </c>
    </row>
    <row r="55" spans="2:21">
      <c r="B55" s="3"/>
      <c r="C55" s="3"/>
      <c r="D55" s="3"/>
      <c r="E55" s="3"/>
      <c r="N55" s="3">
        <f t="shared" si="14"/>
        <v>180</v>
      </c>
      <c r="O55" s="3">
        <f t="shared" si="15"/>
        <v>110.79999999999998</v>
      </c>
      <c r="P55" s="3">
        <f t="shared" si="10"/>
        <v>41.200000000000017</v>
      </c>
      <c r="Q55" s="3">
        <f t="shared" si="17"/>
        <v>30</v>
      </c>
      <c r="R55" s="3">
        <f t="shared" si="11"/>
        <v>-2</v>
      </c>
      <c r="S55" s="3">
        <f t="shared" si="12"/>
        <v>-0.28400000000000036</v>
      </c>
      <c r="T55" s="3">
        <f t="shared" si="16"/>
        <v>0.10666666666666666</v>
      </c>
      <c r="U55" s="3">
        <f t="shared" ca="1" si="13"/>
        <v>7.933333333333327E-2</v>
      </c>
    </row>
    <row r="56" spans="2:21">
      <c r="N56" s="3">
        <f t="shared" si="14"/>
        <v>195</v>
      </c>
      <c r="O56" s="3">
        <f t="shared" si="15"/>
        <v>119.19999999999999</v>
      </c>
      <c r="P56" s="3">
        <f t="shared" si="10"/>
        <v>48.400000000000013</v>
      </c>
      <c r="Q56" s="3">
        <f t="shared" si="17"/>
        <v>30</v>
      </c>
      <c r="R56" s="3">
        <f t="shared" si="11"/>
        <v>-2.5999999999999996</v>
      </c>
      <c r="S56" s="3">
        <f t="shared" si="12"/>
        <v>-0.42800000000000027</v>
      </c>
      <c r="T56" s="3">
        <f t="shared" si="16"/>
        <v>0.12666666666666665</v>
      </c>
      <c r="U56" s="3">
        <f t="shared" ca="1" si="13"/>
        <v>8.7333333333333263E-2</v>
      </c>
    </row>
    <row r="57" spans="2:21">
      <c r="N57" s="3">
        <f t="shared" si="14"/>
        <v>210</v>
      </c>
      <c r="O57" s="3">
        <f t="shared" si="15"/>
        <v>127.6</v>
      </c>
      <c r="P57" s="3">
        <f t="shared" si="10"/>
        <v>55.600000000000009</v>
      </c>
      <c r="Q57" s="3">
        <f t="shared" si="17"/>
        <v>30</v>
      </c>
      <c r="R57" s="3">
        <f t="shared" si="11"/>
        <v>-3.2</v>
      </c>
      <c r="S57" s="3">
        <f t="shared" si="12"/>
        <v>-0.57200000000000017</v>
      </c>
      <c r="T57" s="3">
        <f t="shared" si="16"/>
        <v>0.14666666666666667</v>
      </c>
      <c r="U57" s="3">
        <f t="shared" ca="1" si="13"/>
        <v>9.533333333333327E-2</v>
      </c>
    </row>
    <row r="58" spans="2:21">
      <c r="N58" s="3">
        <f t="shared" si="14"/>
        <v>225</v>
      </c>
      <c r="O58" s="3">
        <f t="shared" si="15"/>
        <v>136</v>
      </c>
      <c r="P58" s="3">
        <f t="shared" si="10"/>
        <v>62.8</v>
      </c>
      <c r="Q58" s="3">
        <f t="shared" si="17"/>
        <v>30</v>
      </c>
      <c r="R58" s="3">
        <f t="shared" si="11"/>
        <v>-3.8</v>
      </c>
      <c r="S58" s="3">
        <f t="shared" si="12"/>
        <v>-0.71599999999999997</v>
      </c>
      <c r="T58" s="3">
        <f t="shared" si="16"/>
        <v>0.16666666666666666</v>
      </c>
      <c r="U58" s="3">
        <f t="shared" ca="1" si="13"/>
        <v>0.10333333333333328</v>
      </c>
    </row>
  </sheetData>
  <phoneticPr fontId="2" type="noConversion"/>
  <pageMargins left="0.75" right="0.75" top="1" bottom="1" header="0.5" footer="0.5"/>
  <pageSetup orientation="portrait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flex</vt:lpstr>
    </vt:vector>
  </TitlesOfParts>
  <Company> The University of Vermont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Gibson</dc:creator>
  <cp:lastModifiedBy>Bill Gibson</cp:lastModifiedBy>
  <cp:lastPrinted>2004-04-15T19:21:43Z</cp:lastPrinted>
  <dcterms:created xsi:type="dcterms:W3CDTF">2004-04-08T08:36:44Z</dcterms:created>
  <dcterms:modified xsi:type="dcterms:W3CDTF">2017-05-02T00:02:47Z</dcterms:modified>
</cp:coreProperties>
</file>