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5" yWindow="6075" windowWidth="15450" windowHeight="2325" tabRatio="879" firstSheet="1" activeTab="3"/>
  </bookViews>
  <sheets>
    <sheet name="Instructions" sheetId="33" r:id="rId1"/>
    <sheet name="PI Instr" sheetId="35" r:id="rId2"/>
    <sheet name="Credits" sheetId="38" r:id="rId3"/>
    <sheet name="Farm Info" sheetId="17" r:id="rId4"/>
    <sheet name="Field Info" sheetId="4" r:id="rId5"/>
    <sheet name="Rotation" sheetId="11" r:id="rId6"/>
    <sheet name="Soil Test Schedule" sheetId="3" r:id="rId7"/>
    <sheet name="Soil Test Results" sheetId="10" r:id="rId8"/>
    <sheet name="VT P Index" sheetId="34" r:id="rId9"/>
    <sheet name="Amend calc" sheetId="39" r:id="rId10"/>
    <sheet name="Amendments" sheetId="1" r:id="rId11"/>
    <sheet name="N Credits" sheetId="9" r:id="rId12"/>
    <sheet name="1" sheetId="6" r:id="rId13"/>
    <sheet name="2" sheetId="13" r:id="rId14"/>
    <sheet name="3" sheetId="14" r:id="rId15"/>
    <sheet name="4" sheetId="15" r:id="rId16"/>
    <sheet name="5" sheetId="16" r:id="rId17"/>
    <sheet name="6" sheetId="18" r:id="rId18"/>
    <sheet name="7" sheetId="19" r:id="rId19"/>
    <sheet name="8" sheetId="20" r:id="rId20"/>
    <sheet name="9" sheetId="21" r:id="rId21"/>
    <sheet name="10" sheetId="22" r:id="rId22"/>
    <sheet name="11" sheetId="23" r:id="rId23"/>
    <sheet name="12" sheetId="24" r:id="rId24"/>
    <sheet name="13" sheetId="25" r:id="rId25"/>
    <sheet name="14" sheetId="26" r:id="rId26"/>
    <sheet name="15" sheetId="27" r:id="rId27"/>
    <sheet name="16" sheetId="28" r:id="rId28"/>
    <sheet name="17" sheetId="29" r:id="rId29"/>
    <sheet name="18" sheetId="30" r:id="rId30"/>
    <sheet name="19" sheetId="31" r:id="rId31"/>
    <sheet name="20" sheetId="32" r:id="rId32"/>
    <sheet name="Summary" sheetId="12" r:id="rId33"/>
  </sheets>
  <externalReferences>
    <externalReference r:id="rId34"/>
    <externalReference r:id="rId35"/>
    <externalReference r:id="rId36"/>
  </externalReferences>
  <definedNames>
    <definedName name="Base_GS_runoff" localSheetId="8">'VT P Index'!$C$226:$E$230</definedName>
    <definedName name="Fertilizer_method_timing" localSheetId="8">'VT P Index'!$B$72:$B$80</definedName>
    <definedName name="Fertilizer_runoff_factor" localSheetId="8">'VT P Index'!$C$44</definedName>
    <definedName name="GS_adjustment_factor" localSheetId="1">'[1]VT P Index  Ver. 5.3  2-9-09'!$C$43</definedName>
    <definedName name="GS_adjustment_factor">'VT P Index'!$C$45</definedName>
    <definedName name="Manure_incorp" localSheetId="8">'VT P Index'!$B$64:$B$69</definedName>
    <definedName name="Manure_method" localSheetId="8">'VT P Index'!$B$56:$B$61</definedName>
    <definedName name="Manure_runoff_factor" localSheetId="8">'VT P Index'!$C$43</definedName>
    <definedName name="Manure_timing" localSheetId="8">'VT P Index'!$B$49:$B$53</definedName>
    <definedName name="March_snow_eq" localSheetId="8">'VT P Index'!$C$246:$E$250</definedName>
    <definedName name="Organic_P_Availability_coefficients" localSheetId="8">'VT P Index'!$B$202:$B$212</definedName>
    <definedName name="Pathway_I_scaling_factor" localSheetId="8">'VT P Index'!$C$5</definedName>
    <definedName name="Pathway_II_scaling_factor" localSheetId="8">'VT P Index'!$C$6</definedName>
    <definedName name="_xlnm.Print_Area" localSheetId="12">'1'!$A$1:$M$50</definedName>
    <definedName name="_xlnm.Print_Area" localSheetId="21">'10'!$A$1:$M$50</definedName>
    <definedName name="_xlnm.Print_Area" localSheetId="22">'11'!$A$1:$M$50</definedName>
    <definedName name="_xlnm.Print_Area" localSheetId="23">'12'!$A$1:$M$50</definedName>
    <definedName name="_xlnm.Print_Area" localSheetId="24">'13'!$A$1:$M$50</definedName>
    <definedName name="_xlnm.Print_Area" localSheetId="25">'14'!$A$1:$M$50</definedName>
    <definedName name="_xlnm.Print_Area" localSheetId="26">'15'!$A$1:$M$50</definedName>
    <definedName name="_xlnm.Print_Area" localSheetId="27">'16'!$A$1:$M$50</definedName>
    <definedName name="_xlnm.Print_Area" localSheetId="28">'17'!$A$1:$M$50</definedName>
    <definedName name="_xlnm.Print_Area" localSheetId="29">'18'!$A$1:$M$50</definedName>
    <definedName name="_xlnm.Print_Area" localSheetId="30">'19'!$A$1:$M$50</definedName>
    <definedName name="_xlnm.Print_Area" localSheetId="13">'2'!$A$1:$M$50</definedName>
    <definedName name="_xlnm.Print_Area" localSheetId="31">'20'!$A$1:$M$50</definedName>
    <definedName name="_xlnm.Print_Area" localSheetId="14">'3'!$A$1:$M$50</definedName>
    <definedName name="_xlnm.Print_Area" localSheetId="15">'4'!$A$1:$M$50</definedName>
    <definedName name="_xlnm.Print_Area" localSheetId="16">'5'!$A$1:$M$50</definedName>
    <definedName name="_xlnm.Print_Area" localSheetId="17">'6'!$A$1:$M$50</definedName>
    <definedName name="_xlnm.Print_Area" localSheetId="18">'7'!$A$1:$M$50</definedName>
    <definedName name="_xlnm.Print_Area" localSheetId="19">'8'!$A$1:$M$50</definedName>
    <definedName name="_xlnm.Print_Area" localSheetId="20">'9'!$A$1:$M$50</definedName>
    <definedName name="_xlnm.Print_Area" localSheetId="3">'Farm Info'!$1:$52</definedName>
    <definedName name="_xlnm.Print_Area" localSheetId="11">'N Credits'!$A$1:$H$46</definedName>
    <definedName name="_xlnm.Print_Area" localSheetId="5">Rotation!$A$1:$L$66</definedName>
    <definedName name="_xlnm.Print_Area" localSheetId="7">'Soil Test Results'!$A$1:$H$25</definedName>
    <definedName name="_xlnm.Print_Area" localSheetId="8">'VT P Index'!$A$1:$Y$32</definedName>
    <definedName name="_xlnm.Print_Titles" localSheetId="4">'Field Info'!$A:$B,'Field Info'!$1:$3</definedName>
    <definedName name="_xlnm.Print_Titles" localSheetId="8">'VT P Index'!$A:$E</definedName>
    <definedName name="Sed_trap_factor" localSheetId="8">'VT P Index'!$B$196:$C$200</definedName>
    <definedName name="Snowmelt_runoff_factor" localSheetId="8">'VT P Index'!$C$252</definedName>
    <definedName name="Soil_hydrologic_group" localSheetId="8">'VT P Index'!$B$103:$B$106</definedName>
    <definedName name="Soil_series" localSheetId="8">'VT P Index'!$B$276:$B$466</definedName>
    <definedName name="soil_test_sched">'[2]SoilTest Sch.'!$A$9:$R$109</definedName>
    <definedName name="Soils_NCent" localSheetId="8">'VT P Index'!$D$469:$D$537</definedName>
    <definedName name="Soils_NE" localSheetId="8">'VT P Index'!$E$469:$E$500</definedName>
    <definedName name="Soils_NW" localSheetId="8">'VT P Index'!$C$469:$C$561</definedName>
    <definedName name="Soils_SE" localSheetId="8">'VT P Index'!$B$469:$B$546</definedName>
    <definedName name="Soils_SW" localSheetId="8">'VT P Index'!$A$469:$A$567</definedName>
    <definedName name="Surface_cover" localSheetId="8">'VT P Index'!$B$118:$B$120</definedName>
    <definedName name="TP_availability_factor" localSheetId="8">'VT P Index'!$C$37</definedName>
    <definedName name="TP_Intercept" localSheetId="8">'VT P Index'!$C$35</definedName>
    <definedName name="TP_maximum" localSheetId="8">'VT P Index'!$C$36</definedName>
    <definedName name="TP_Slope" localSheetId="8">'VT P Index'!$C$34</definedName>
    <definedName name="Uptake" localSheetId="8">'VT P Index'!$D$122:$D$131</definedName>
    <definedName name="Vegetation_type" localSheetId="8">'VT P Index'!$B$122:$B$131</definedName>
    <definedName name="Z_D9497469_D615_4BED_A326_9663578750BB_.wvu.Cols" localSheetId="3" hidden="1">'Farm Info'!$J:$IV</definedName>
    <definedName name="Z_D9497469_D615_4BED_A326_9663578750BB_.wvu.Rows" localSheetId="3" hidden="1">'Farm Info'!$59:$65536</definedName>
  </definedNames>
  <calcPr calcId="125725"/>
</workbook>
</file>

<file path=xl/calcChain.xml><?xml version="1.0" encoding="utf-8"?>
<calcChain xmlns="http://schemas.openxmlformats.org/spreadsheetml/2006/main">
  <c r="Y22" i="34"/>
  <c r="X22"/>
  <c r="W22"/>
  <c r="V22"/>
  <c r="U22"/>
  <c r="T22"/>
  <c r="S22"/>
  <c r="R22"/>
  <c r="Q22"/>
  <c r="P22"/>
  <c r="O22"/>
  <c r="N22"/>
  <c r="M22"/>
  <c r="L22"/>
  <c r="K22"/>
  <c r="J22"/>
  <c r="I22"/>
  <c r="H22"/>
  <c r="G22"/>
  <c r="Y17"/>
  <c r="X17"/>
  <c r="W17"/>
  <c r="V17"/>
  <c r="U17"/>
  <c r="T17"/>
  <c r="S17"/>
  <c r="R17"/>
  <c r="Q17"/>
  <c r="P17"/>
  <c r="O17"/>
  <c r="N17"/>
  <c r="M17"/>
  <c r="L17"/>
  <c r="K17"/>
  <c r="J17"/>
  <c r="I17"/>
  <c r="H17"/>
  <c r="Q25" i="32"/>
  <c r="P11"/>
  <c r="P12"/>
  <c r="P13"/>
  <c r="P14"/>
  <c r="P15"/>
  <c r="P16"/>
  <c r="P17"/>
  <c r="P18"/>
  <c r="P19"/>
  <c r="P20"/>
  <c r="P21"/>
  <c r="R21"/>
  <c r="R29"/>
  <c r="Q21"/>
  <c r="Q29"/>
  <c r="Q24"/>
  <c r="R28"/>
  <c r="Q28"/>
  <c r="Q23"/>
  <c r="R27" s="1"/>
  <c r="H27"/>
  <c r="R20"/>
  <c r="Q20"/>
  <c r="L20"/>
  <c r="K20"/>
  <c r="J16"/>
  <c r="J17"/>
  <c r="J20" s="1"/>
  <c r="J18"/>
  <c r="J19"/>
  <c r="I16"/>
  <c r="I17"/>
  <c r="I18"/>
  <c r="I19"/>
  <c r="H11"/>
  <c r="H16"/>
  <c r="H17"/>
  <c r="H18"/>
  <c r="H19"/>
  <c r="G20"/>
  <c r="R19"/>
  <c r="Q19"/>
  <c r="R18"/>
  <c r="Q18"/>
  <c r="R17"/>
  <c r="Q17"/>
  <c r="R16"/>
  <c r="Q16"/>
  <c r="R15"/>
  <c r="Q15"/>
  <c r="C15"/>
  <c r="R14"/>
  <c r="Q14"/>
  <c r="R13"/>
  <c r="Q13"/>
  <c r="R12"/>
  <c r="Q12"/>
  <c r="R11"/>
  <c r="Q11"/>
  <c r="Q25" i="31"/>
  <c r="P11"/>
  <c r="P12"/>
  <c r="R29" s="1"/>
  <c r="P13"/>
  <c r="P14"/>
  <c r="P15"/>
  <c r="P16"/>
  <c r="P17"/>
  <c r="P18"/>
  <c r="P19"/>
  <c r="P20"/>
  <c r="P21"/>
  <c r="R21"/>
  <c r="Q21"/>
  <c r="Q24"/>
  <c r="Q23"/>
  <c r="H27"/>
  <c r="R20"/>
  <c r="Q20"/>
  <c r="L20"/>
  <c r="K20"/>
  <c r="J16"/>
  <c r="J17"/>
  <c r="J20" s="1"/>
  <c r="J18"/>
  <c r="J19"/>
  <c r="I16"/>
  <c r="I17"/>
  <c r="I18"/>
  <c r="I19"/>
  <c r="H11"/>
  <c r="H16"/>
  <c r="H17"/>
  <c r="H18"/>
  <c r="H19"/>
  <c r="G20"/>
  <c r="R19"/>
  <c r="Q19"/>
  <c r="R18"/>
  <c r="Q18"/>
  <c r="R17"/>
  <c r="Q17"/>
  <c r="R16"/>
  <c r="Q16"/>
  <c r="R15"/>
  <c r="Q15"/>
  <c r="C15"/>
  <c r="R14"/>
  <c r="Q14"/>
  <c r="R13"/>
  <c r="Q13"/>
  <c r="R12"/>
  <c r="Q12"/>
  <c r="R11"/>
  <c r="Q11"/>
  <c r="Q25" i="30"/>
  <c r="P11"/>
  <c r="P12"/>
  <c r="P13"/>
  <c r="P14"/>
  <c r="P15"/>
  <c r="P16"/>
  <c r="P17"/>
  <c r="P18"/>
  <c r="P19"/>
  <c r="P20"/>
  <c r="P21"/>
  <c r="R21"/>
  <c r="Q21"/>
  <c r="Q24"/>
  <c r="Q23"/>
  <c r="H27"/>
  <c r="R20"/>
  <c r="Q20"/>
  <c r="L20"/>
  <c r="K20"/>
  <c r="J16"/>
  <c r="J17"/>
  <c r="J18"/>
  <c r="J19"/>
  <c r="I16"/>
  <c r="I17"/>
  <c r="I18"/>
  <c r="I19"/>
  <c r="H11"/>
  <c r="H16"/>
  <c r="H17"/>
  <c r="H18"/>
  <c r="H19"/>
  <c r="G20"/>
  <c r="R19"/>
  <c r="Q19"/>
  <c r="R18"/>
  <c r="Q18"/>
  <c r="R17"/>
  <c r="Q17"/>
  <c r="R16"/>
  <c r="Q16"/>
  <c r="R15"/>
  <c r="Q15"/>
  <c r="C15"/>
  <c r="R14"/>
  <c r="Q14"/>
  <c r="R13"/>
  <c r="Q13"/>
  <c r="R12"/>
  <c r="Q12"/>
  <c r="R11"/>
  <c r="Q11"/>
  <c r="Q25" i="29"/>
  <c r="P11"/>
  <c r="P12"/>
  <c r="P13"/>
  <c r="P14"/>
  <c r="P15"/>
  <c r="P16"/>
  <c r="P17"/>
  <c r="P18"/>
  <c r="P19"/>
  <c r="P20"/>
  <c r="P21"/>
  <c r="R21"/>
  <c r="R29"/>
  <c r="Q21"/>
  <c r="Q29"/>
  <c r="Q24"/>
  <c r="R28"/>
  <c r="Q23"/>
  <c r="Q27"/>
  <c r="H27"/>
  <c r="R20"/>
  <c r="Q20"/>
  <c r="L20"/>
  <c r="K20"/>
  <c r="J16"/>
  <c r="J17"/>
  <c r="J18"/>
  <c r="J19"/>
  <c r="J20"/>
  <c r="I16"/>
  <c r="I17"/>
  <c r="I18"/>
  <c r="I19"/>
  <c r="H11"/>
  <c r="H16"/>
  <c r="H17"/>
  <c r="H18"/>
  <c r="H19"/>
  <c r="G20"/>
  <c r="R19"/>
  <c r="Q19"/>
  <c r="R18"/>
  <c r="Q18"/>
  <c r="R17"/>
  <c r="Q17"/>
  <c r="R16"/>
  <c r="Q16"/>
  <c r="R15"/>
  <c r="Q15"/>
  <c r="C15"/>
  <c r="R14"/>
  <c r="Q14"/>
  <c r="R13"/>
  <c r="Q13"/>
  <c r="R12"/>
  <c r="Q12"/>
  <c r="R11"/>
  <c r="Q11"/>
  <c r="Q25" i="28"/>
  <c r="P11"/>
  <c r="P12"/>
  <c r="P13"/>
  <c r="P14"/>
  <c r="P15"/>
  <c r="P16"/>
  <c r="P17"/>
  <c r="P18"/>
  <c r="P19"/>
  <c r="P20"/>
  <c r="P21"/>
  <c r="R21"/>
  <c r="Q21"/>
  <c r="Q24"/>
  <c r="R28" s="1"/>
  <c r="Q23"/>
  <c r="H27"/>
  <c r="R20"/>
  <c r="Q20"/>
  <c r="L20"/>
  <c r="K20"/>
  <c r="J16"/>
  <c r="J17"/>
  <c r="J18"/>
  <c r="J19"/>
  <c r="I16"/>
  <c r="I17"/>
  <c r="I18"/>
  <c r="I19"/>
  <c r="H11"/>
  <c r="H16"/>
  <c r="H17"/>
  <c r="H18"/>
  <c r="H19"/>
  <c r="G20"/>
  <c r="R19"/>
  <c r="Q19"/>
  <c r="R18"/>
  <c r="Q18"/>
  <c r="R17"/>
  <c r="Q17"/>
  <c r="R16"/>
  <c r="Q16"/>
  <c r="R15"/>
  <c r="Q15"/>
  <c r="C15"/>
  <c r="R14"/>
  <c r="Q14"/>
  <c r="R13"/>
  <c r="Q13"/>
  <c r="R12"/>
  <c r="Q12"/>
  <c r="R11"/>
  <c r="Q11"/>
  <c r="Q25" i="27"/>
  <c r="P11"/>
  <c r="P12"/>
  <c r="P13"/>
  <c r="P14"/>
  <c r="P15"/>
  <c r="P16"/>
  <c r="P17"/>
  <c r="P18"/>
  <c r="P19"/>
  <c r="P20"/>
  <c r="P21"/>
  <c r="R21"/>
  <c r="Q21"/>
  <c r="Q24"/>
  <c r="Q23"/>
  <c r="H27"/>
  <c r="R20"/>
  <c r="Q20"/>
  <c r="L20"/>
  <c r="K20"/>
  <c r="J16"/>
  <c r="J17"/>
  <c r="J20" s="1"/>
  <c r="J18"/>
  <c r="J19"/>
  <c r="I16"/>
  <c r="I17"/>
  <c r="I18"/>
  <c r="I19"/>
  <c r="H11"/>
  <c r="H16"/>
  <c r="H17"/>
  <c r="H18"/>
  <c r="H19"/>
  <c r="G20"/>
  <c r="R19"/>
  <c r="Q19"/>
  <c r="R18"/>
  <c r="Q18"/>
  <c r="R17"/>
  <c r="Q17"/>
  <c r="R16"/>
  <c r="Q16"/>
  <c r="R15"/>
  <c r="Q15"/>
  <c r="C15"/>
  <c r="R14"/>
  <c r="Q14"/>
  <c r="R13"/>
  <c r="Q13"/>
  <c r="R12"/>
  <c r="Q12"/>
  <c r="R11"/>
  <c r="Q11"/>
  <c r="Q25" i="26"/>
  <c r="P11"/>
  <c r="P12"/>
  <c r="Q28" s="1"/>
  <c r="P13"/>
  <c r="P14"/>
  <c r="P15"/>
  <c r="P16"/>
  <c r="P17"/>
  <c r="P18"/>
  <c r="P19"/>
  <c r="P20"/>
  <c r="P21"/>
  <c r="R21"/>
  <c r="Q21"/>
  <c r="Q24"/>
  <c r="Q23"/>
  <c r="H27"/>
  <c r="R20"/>
  <c r="Q20"/>
  <c r="L20"/>
  <c r="K20"/>
  <c r="J16"/>
  <c r="J17"/>
  <c r="J18"/>
  <c r="J19"/>
  <c r="I16"/>
  <c r="I17"/>
  <c r="I18"/>
  <c r="I19"/>
  <c r="H11"/>
  <c r="H16"/>
  <c r="H17"/>
  <c r="H18"/>
  <c r="H19"/>
  <c r="G20"/>
  <c r="R19"/>
  <c r="Q19"/>
  <c r="R18"/>
  <c r="Q18"/>
  <c r="R17"/>
  <c r="Q17"/>
  <c r="R16"/>
  <c r="Q16"/>
  <c r="R15"/>
  <c r="Q15"/>
  <c r="C15"/>
  <c r="R14"/>
  <c r="Q14"/>
  <c r="R13"/>
  <c r="Q13"/>
  <c r="R12"/>
  <c r="Q12"/>
  <c r="R11"/>
  <c r="Q11"/>
  <c r="Q25" i="25"/>
  <c r="P11"/>
  <c r="P12"/>
  <c r="R29" s="1"/>
  <c r="P13"/>
  <c r="P14"/>
  <c r="P15"/>
  <c r="P16"/>
  <c r="P17"/>
  <c r="P18"/>
  <c r="P19"/>
  <c r="P20"/>
  <c r="P21"/>
  <c r="R21"/>
  <c r="Q21"/>
  <c r="Q24"/>
  <c r="Q23"/>
  <c r="H27"/>
  <c r="R20"/>
  <c r="Q20"/>
  <c r="L20"/>
  <c r="K20"/>
  <c r="J16"/>
  <c r="J17"/>
  <c r="J18"/>
  <c r="J19"/>
  <c r="J20"/>
  <c r="I16"/>
  <c r="I17"/>
  <c r="I18"/>
  <c r="I19"/>
  <c r="H11"/>
  <c r="H16"/>
  <c r="H17"/>
  <c r="H18"/>
  <c r="H19"/>
  <c r="G20"/>
  <c r="R19"/>
  <c r="Q19"/>
  <c r="R18"/>
  <c r="Q18"/>
  <c r="R17"/>
  <c r="Q17"/>
  <c r="R16"/>
  <c r="Q16"/>
  <c r="R15"/>
  <c r="Q15"/>
  <c r="C15"/>
  <c r="R14"/>
  <c r="Q14"/>
  <c r="R13"/>
  <c r="Q13"/>
  <c r="R12"/>
  <c r="Q12"/>
  <c r="R11"/>
  <c r="Q11"/>
  <c r="Q25" i="24"/>
  <c r="P11"/>
  <c r="P12"/>
  <c r="P13"/>
  <c r="P14"/>
  <c r="P15"/>
  <c r="P16"/>
  <c r="P17"/>
  <c r="P18"/>
  <c r="P19"/>
  <c r="P20"/>
  <c r="P21"/>
  <c r="R21"/>
  <c r="Q21"/>
  <c r="Q24"/>
  <c r="Q23"/>
  <c r="H27"/>
  <c r="R20"/>
  <c r="Q20"/>
  <c r="L20"/>
  <c r="K20"/>
  <c r="J16"/>
  <c r="J17"/>
  <c r="J18"/>
  <c r="J19"/>
  <c r="I16"/>
  <c r="I17"/>
  <c r="I18"/>
  <c r="I19"/>
  <c r="H11"/>
  <c r="H16"/>
  <c r="H17"/>
  <c r="H18"/>
  <c r="H19"/>
  <c r="G20"/>
  <c r="R19"/>
  <c r="Q19"/>
  <c r="R18"/>
  <c r="Q18"/>
  <c r="R17"/>
  <c r="Q17"/>
  <c r="R16"/>
  <c r="Q16"/>
  <c r="R15"/>
  <c r="Q15"/>
  <c r="C15"/>
  <c r="R14"/>
  <c r="Q14"/>
  <c r="R13"/>
  <c r="Q13"/>
  <c r="R12"/>
  <c r="Q12"/>
  <c r="R11"/>
  <c r="Q11"/>
  <c r="Q25" i="23"/>
  <c r="P11"/>
  <c r="P12"/>
  <c r="P13"/>
  <c r="P14"/>
  <c r="P15"/>
  <c r="P16"/>
  <c r="P17"/>
  <c r="P18"/>
  <c r="P19"/>
  <c r="P20"/>
  <c r="P21"/>
  <c r="R21"/>
  <c r="Q21"/>
  <c r="Q24"/>
  <c r="Q23"/>
  <c r="H27"/>
  <c r="R20"/>
  <c r="Q20"/>
  <c r="L20"/>
  <c r="K20"/>
  <c r="J16"/>
  <c r="J17"/>
  <c r="J20" s="1"/>
  <c r="J18"/>
  <c r="J19"/>
  <c r="I16"/>
  <c r="I17"/>
  <c r="I18"/>
  <c r="I19"/>
  <c r="H11"/>
  <c r="H16"/>
  <c r="H17"/>
  <c r="H18"/>
  <c r="H19"/>
  <c r="G20"/>
  <c r="R19"/>
  <c r="Q19"/>
  <c r="R18"/>
  <c r="Q18"/>
  <c r="R17"/>
  <c r="Q17"/>
  <c r="R16"/>
  <c r="Q16"/>
  <c r="R15"/>
  <c r="Q15"/>
  <c r="C15"/>
  <c r="R14"/>
  <c r="Q14"/>
  <c r="R13"/>
  <c r="Q13"/>
  <c r="R12"/>
  <c r="Q12"/>
  <c r="R11"/>
  <c r="Q11"/>
  <c r="Q25" i="22"/>
  <c r="P11"/>
  <c r="P12"/>
  <c r="P13"/>
  <c r="P14"/>
  <c r="P15"/>
  <c r="P16"/>
  <c r="P17"/>
  <c r="P18"/>
  <c r="P19"/>
  <c r="P20"/>
  <c r="P21"/>
  <c r="R21"/>
  <c r="Q21"/>
  <c r="Q24"/>
  <c r="Q23"/>
  <c r="H27"/>
  <c r="R20"/>
  <c r="Q20"/>
  <c r="L20"/>
  <c r="K20"/>
  <c r="J16"/>
  <c r="J17"/>
  <c r="J18"/>
  <c r="J19"/>
  <c r="I16"/>
  <c r="I17"/>
  <c r="I18"/>
  <c r="I19"/>
  <c r="H11"/>
  <c r="H16"/>
  <c r="H17"/>
  <c r="H18"/>
  <c r="H19"/>
  <c r="G20"/>
  <c r="R19"/>
  <c r="Q19"/>
  <c r="R18"/>
  <c r="Q18"/>
  <c r="R17"/>
  <c r="Q17"/>
  <c r="R16"/>
  <c r="Q16"/>
  <c r="R15"/>
  <c r="Q15"/>
  <c r="C15"/>
  <c r="R14"/>
  <c r="Q14"/>
  <c r="R13"/>
  <c r="Q13"/>
  <c r="R12"/>
  <c r="Q12"/>
  <c r="R11"/>
  <c r="Q11"/>
  <c r="Q25" i="21"/>
  <c r="P11"/>
  <c r="Q29" s="1"/>
  <c r="P12"/>
  <c r="P13"/>
  <c r="P14"/>
  <c r="P15"/>
  <c r="P16"/>
  <c r="P17"/>
  <c r="P18"/>
  <c r="P19"/>
  <c r="P20"/>
  <c r="P21"/>
  <c r="R21"/>
  <c r="Q21"/>
  <c r="Q24"/>
  <c r="Q23"/>
  <c r="H27"/>
  <c r="R20"/>
  <c r="Q20"/>
  <c r="L20"/>
  <c r="K20"/>
  <c r="J16"/>
  <c r="J17"/>
  <c r="J18"/>
  <c r="J19"/>
  <c r="J20"/>
  <c r="I16"/>
  <c r="I17"/>
  <c r="I18"/>
  <c r="I19"/>
  <c r="H11"/>
  <c r="H16"/>
  <c r="H17"/>
  <c r="H18"/>
  <c r="H19"/>
  <c r="G20"/>
  <c r="R19"/>
  <c r="Q19"/>
  <c r="R18"/>
  <c r="Q18"/>
  <c r="R17"/>
  <c r="Q17"/>
  <c r="R16"/>
  <c r="Q16"/>
  <c r="R15"/>
  <c r="Q15"/>
  <c r="C15"/>
  <c r="R14"/>
  <c r="Q14"/>
  <c r="R13"/>
  <c r="Q13"/>
  <c r="R12"/>
  <c r="Q12"/>
  <c r="R11"/>
  <c r="Q11"/>
  <c r="Q25" i="20"/>
  <c r="P11"/>
  <c r="P12"/>
  <c r="P13"/>
  <c r="P14"/>
  <c r="P15"/>
  <c r="P16"/>
  <c r="P17"/>
  <c r="P18"/>
  <c r="P19"/>
  <c r="P20"/>
  <c r="P21"/>
  <c r="R21"/>
  <c r="Q21"/>
  <c r="Q24"/>
  <c r="Q23"/>
  <c r="H27"/>
  <c r="R20"/>
  <c r="Q20"/>
  <c r="L20"/>
  <c r="K20"/>
  <c r="J16"/>
  <c r="J17"/>
  <c r="J18"/>
  <c r="J19"/>
  <c r="I16"/>
  <c r="I17"/>
  <c r="I18"/>
  <c r="I19"/>
  <c r="H11"/>
  <c r="H16"/>
  <c r="H17"/>
  <c r="H18"/>
  <c r="H19"/>
  <c r="G20"/>
  <c r="R19"/>
  <c r="Q19"/>
  <c r="R18"/>
  <c r="Q18"/>
  <c r="R17"/>
  <c r="Q17"/>
  <c r="R16"/>
  <c r="Q16"/>
  <c r="R15"/>
  <c r="Q15"/>
  <c r="C15"/>
  <c r="R14"/>
  <c r="Q14"/>
  <c r="R13"/>
  <c r="Q13"/>
  <c r="R12"/>
  <c r="Q12"/>
  <c r="R11"/>
  <c r="Q11"/>
  <c r="Q25" i="19"/>
  <c r="P11"/>
  <c r="P12"/>
  <c r="P13"/>
  <c r="P14"/>
  <c r="P15"/>
  <c r="P16"/>
  <c r="P17"/>
  <c r="P18"/>
  <c r="P19"/>
  <c r="P20"/>
  <c r="P21"/>
  <c r="R21"/>
  <c r="Q21"/>
  <c r="Q24"/>
  <c r="Q23"/>
  <c r="H27"/>
  <c r="R20"/>
  <c r="Q20"/>
  <c r="L20"/>
  <c r="K20"/>
  <c r="J16"/>
  <c r="J17"/>
  <c r="J20" s="1"/>
  <c r="J18"/>
  <c r="J19"/>
  <c r="I16"/>
  <c r="I17"/>
  <c r="I18"/>
  <c r="I19"/>
  <c r="H11"/>
  <c r="H16"/>
  <c r="H17"/>
  <c r="H18"/>
  <c r="H19"/>
  <c r="G20"/>
  <c r="R19"/>
  <c r="Q19"/>
  <c r="R18"/>
  <c r="Q18"/>
  <c r="R17"/>
  <c r="Q17"/>
  <c r="R16"/>
  <c r="Q16"/>
  <c r="R15"/>
  <c r="Q15"/>
  <c r="C15"/>
  <c r="R14"/>
  <c r="Q14"/>
  <c r="R13"/>
  <c r="Q13"/>
  <c r="R12"/>
  <c r="Q12"/>
  <c r="R11"/>
  <c r="Q11"/>
  <c r="Q25" i="18"/>
  <c r="P11"/>
  <c r="P12"/>
  <c r="P13"/>
  <c r="P14"/>
  <c r="P15"/>
  <c r="P16"/>
  <c r="P17"/>
  <c r="P18"/>
  <c r="P19"/>
  <c r="P20"/>
  <c r="P21"/>
  <c r="R21"/>
  <c r="Q21"/>
  <c r="Q24"/>
  <c r="Q28"/>
  <c r="Q23"/>
  <c r="R27"/>
  <c r="H27"/>
  <c r="R20"/>
  <c r="Q20"/>
  <c r="L20"/>
  <c r="K20"/>
  <c r="J16"/>
  <c r="J17"/>
  <c r="J18"/>
  <c r="J19"/>
  <c r="I16"/>
  <c r="I17"/>
  <c r="I18"/>
  <c r="I19"/>
  <c r="H11"/>
  <c r="H16"/>
  <c r="H17"/>
  <c r="H18"/>
  <c r="H19"/>
  <c r="G20"/>
  <c r="R19"/>
  <c r="Q19"/>
  <c r="R18"/>
  <c r="Q18"/>
  <c r="R17"/>
  <c r="Q17"/>
  <c r="R16"/>
  <c r="Q16"/>
  <c r="R15"/>
  <c r="Q15"/>
  <c r="C15"/>
  <c r="R14"/>
  <c r="Q14"/>
  <c r="R13"/>
  <c r="Q13"/>
  <c r="R12"/>
  <c r="Q12"/>
  <c r="R11"/>
  <c r="Q11"/>
  <c r="Q25" i="16"/>
  <c r="P11"/>
  <c r="P12"/>
  <c r="P13"/>
  <c r="P14"/>
  <c r="P15"/>
  <c r="P16"/>
  <c r="P17"/>
  <c r="P18"/>
  <c r="P19"/>
  <c r="P20"/>
  <c r="P21"/>
  <c r="R21"/>
  <c r="R29"/>
  <c r="Q21"/>
  <c r="Q29"/>
  <c r="Q24"/>
  <c r="R28"/>
  <c r="Q23"/>
  <c r="Q27"/>
  <c r="H27"/>
  <c r="R20"/>
  <c r="Q20"/>
  <c r="L20"/>
  <c r="K20"/>
  <c r="J16"/>
  <c r="J17"/>
  <c r="J18"/>
  <c r="J19"/>
  <c r="J20"/>
  <c r="I16"/>
  <c r="I17"/>
  <c r="I18"/>
  <c r="I19"/>
  <c r="H11"/>
  <c r="H16"/>
  <c r="H17"/>
  <c r="H18"/>
  <c r="H19"/>
  <c r="G20"/>
  <c r="R19"/>
  <c r="Q19"/>
  <c r="R18"/>
  <c r="Q18"/>
  <c r="R17"/>
  <c r="Q17"/>
  <c r="R16"/>
  <c r="Q16"/>
  <c r="R15"/>
  <c r="Q15"/>
  <c r="C15"/>
  <c r="R14"/>
  <c r="Q14"/>
  <c r="R13"/>
  <c r="Q13"/>
  <c r="R12"/>
  <c r="Q12"/>
  <c r="R11"/>
  <c r="Q11"/>
  <c r="Q25" i="15"/>
  <c r="P11"/>
  <c r="P12"/>
  <c r="P13"/>
  <c r="P14"/>
  <c r="P15"/>
  <c r="P16"/>
  <c r="P17"/>
  <c r="P18"/>
  <c r="P19"/>
  <c r="P20"/>
  <c r="P21"/>
  <c r="R21"/>
  <c r="Q21"/>
  <c r="Q24"/>
  <c r="R28" s="1"/>
  <c r="Q23"/>
  <c r="H27"/>
  <c r="R20"/>
  <c r="Q20"/>
  <c r="L20"/>
  <c r="K20"/>
  <c r="J16"/>
  <c r="J17"/>
  <c r="J18"/>
  <c r="J19"/>
  <c r="I16"/>
  <c r="I17"/>
  <c r="I18"/>
  <c r="I19"/>
  <c r="H11"/>
  <c r="H16"/>
  <c r="H17"/>
  <c r="H18"/>
  <c r="H19"/>
  <c r="G20"/>
  <c r="R19"/>
  <c r="Q19"/>
  <c r="R18"/>
  <c r="Q18"/>
  <c r="R17"/>
  <c r="Q17"/>
  <c r="R16"/>
  <c r="Q16"/>
  <c r="R15"/>
  <c r="Q15"/>
  <c r="C15"/>
  <c r="R14"/>
  <c r="Q14"/>
  <c r="R13"/>
  <c r="Q13"/>
  <c r="R12"/>
  <c r="Q12"/>
  <c r="R11"/>
  <c r="Q11"/>
  <c r="Q25" i="14"/>
  <c r="P11"/>
  <c r="P12"/>
  <c r="P13"/>
  <c r="P14"/>
  <c r="P15"/>
  <c r="P16"/>
  <c r="P17"/>
  <c r="P18"/>
  <c r="P19"/>
  <c r="P20"/>
  <c r="P21"/>
  <c r="R21"/>
  <c r="Q21"/>
  <c r="Q24"/>
  <c r="Q23"/>
  <c r="H27"/>
  <c r="R20"/>
  <c r="Q20"/>
  <c r="L20"/>
  <c r="K20"/>
  <c r="J16"/>
  <c r="J17"/>
  <c r="J20" s="1"/>
  <c r="J18"/>
  <c r="J19"/>
  <c r="I16"/>
  <c r="I17"/>
  <c r="I18"/>
  <c r="I19"/>
  <c r="H11"/>
  <c r="H16"/>
  <c r="H17"/>
  <c r="H18"/>
  <c r="H19"/>
  <c r="G20"/>
  <c r="R19"/>
  <c r="Q19"/>
  <c r="R18"/>
  <c r="Q18"/>
  <c r="R17"/>
  <c r="Q17"/>
  <c r="R16"/>
  <c r="Q16"/>
  <c r="R15"/>
  <c r="Q15"/>
  <c r="C15"/>
  <c r="R14"/>
  <c r="Q14"/>
  <c r="R13"/>
  <c r="Q13"/>
  <c r="R12"/>
  <c r="Q12"/>
  <c r="R11"/>
  <c r="Q11"/>
  <c r="G17" i="34"/>
  <c r="Q25" i="13"/>
  <c r="P11"/>
  <c r="P12"/>
  <c r="P13"/>
  <c r="P14"/>
  <c r="P15"/>
  <c r="P16"/>
  <c r="P17"/>
  <c r="P18"/>
  <c r="P19"/>
  <c r="P20"/>
  <c r="P21"/>
  <c r="R21"/>
  <c r="Q21"/>
  <c r="Q24"/>
  <c r="Q23"/>
  <c r="H27"/>
  <c r="R20"/>
  <c r="Q20"/>
  <c r="L20"/>
  <c r="K20"/>
  <c r="J16"/>
  <c r="J17"/>
  <c r="J20" s="1"/>
  <c r="J18"/>
  <c r="J19"/>
  <c r="I16"/>
  <c r="I17"/>
  <c r="I18"/>
  <c r="I19"/>
  <c r="H11"/>
  <c r="H16"/>
  <c r="H17"/>
  <c r="H18"/>
  <c r="H19"/>
  <c r="G20"/>
  <c r="R19"/>
  <c r="Q19"/>
  <c r="R18"/>
  <c r="Q18"/>
  <c r="R17"/>
  <c r="Q17"/>
  <c r="R16"/>
  <c r="Q16"/>
  <c r="R15"/>
  <c r="Q15"/>
  <c r="C15"/>
  <c r="R14"/>
  <c r="Q14"/>
  <c r="R13"/>
  <c r="Q13"/>
  <c r="R12"/>
  <c r="Q12"/>
  <c r="R11"/>
  <c r="Q11"/>
  <c r="F22" i="34"/>
  <c r="F17"/>
  <c r="Q23" i="6"/>
  <c r="Q25"/>
  <c r="Q24"/>
  <c r="E14" i="39"/>
  <c r="G14" s="1"/>
  <c r="I14" s="1"/>
  <c r="K14" s="1"/>
  <c r="M14" s="1"/>
  <c r="O14" s="1"/>
  <c r="E15"/>
  <c r="E16"/>
  <c r="G16" s="1"/>
  <c r="I16" s="1"/>
  <c r="K16" s="1"/>
  <c r="M16" s="1"/>
  <c r="O16" s="1"/>
  <c r="E17"/>
  <c r="G17" s="1"/>
  <c r="I17" s="1"/>
  <c r="K17" s="1"/>
  <c r="M17" s="1"/>
  <c r="O17" s="1"/>
  <c r="E18"/>
  <c r="G18"/>
  <c r="I18" s="1"/>
  <c r="K18" s="1"/>
  <c r="M18" s="1"/>
  <c r="O18" s="1"/>
  <c r="E19"/>
  <c r="E20"/>
  <c r="G20" s="1"/>
  <c r="I20" s="1"/>
  <c r="K20" s="1"/>
  <c r="M20" s="1"/>
  <c r="O20" s="1"/>
  <c r="E13"/>
  <c r="G13" s="1"/>
  <c r="G19"/>
  <c r="I19" s="1"/>
  <c r="K19" s="1"/>
  <c r="M19" s="1"/>
  <c r="O19" s="1"/>
  <c r="M10"/>
  <c r="O10"/>
  <c r="M9"/>
  <c r="O9"/>
  <c r="M8"/>
  <c r="O8"/>
  <c r="M7"/>
  <c r="O7"/>
  <c r="M6"/>
  <c r="O6"/>
  <c r="M5"/>
  <c r="O5"/>
  <c r="M4"/>
  <c r="O4"/>
  <c r="M3"/>
  <c r="O3"/>
  <c r="I10"/>
  <c r="K10"/>
  <c r="I9"/>
  <c r="K9"/>
  <c r="I8"/>
  <c r="K8"/>
  <c r="I7"/>
  <c r="I6"/>
  <c r="K6" s="1"/>
  <c r="I5"/>
  <c r="K5" s="1"/>
  <c r="I4"/>
  <c r="K4" s="1"/>
  <c r="I3"/>
  <c r="K3" s="1"/>
  <c r="E10"/>
  <c r="G10" s="1"/>
  <c r="E9"/>
  <c r="G9"/>
  <c r="E8"/>
  <c r="E7"/>
  <c r="G7" s="1"/>
  <c r="E6"/>
  <c r="E5"/>
  <c r="G5" s="1"/>
  <c r="E4"/>
  <c r="E3"/>
  <c r="G3" s="1"/>
  <c r="G15"/>
  <c r="I15" s="1"/>
  <c r="K15" s="1"/>
  <c r="M15" s="1"/>
  <c r="O15" s="1"/>
  <c r="K7"/>
  <c r="G4"/>
  <c r="G6"/>
  <c r="G8"/>
  <c r="L50" i="32"/>
  <c r="K50"/>
  <c r="G50"/>
  <c r="J49"/>
  <c r="I49"/>
  <c r="H49"/>
  <c r="J48"/>
  <c r="I48"/>
  <c r="H48"/>
  <c r="Q47"/>
  <c r="J47"/>
  <c r="I47"/>
  <c r="H47"/>
  <c r="J46"/>
  <c r="I46"/>
  <c r="H46"/>
  <c r="C45"/>
  <c r="H42"/>
  <c r="L35"/>
  <c r="K35"/>
  <c r="G35"/>
  <c r="J34"/>
  <c r="I34"/>
  <c r="H34"/>
  <c r="J33"/>
  <c r="I33"/>
  <c r="H33"/>
  <c r="Q32"/>
  <c r="J32"/>
  <c r="I32"/>
  <c r="H32"/>
  <c r="J31"/>
  <c r="J35"/>
  <c r="I31"/>
  <c r="H31"/>
  <c r="C30"/>
  <c r="L50" i="31"/>
  <c r="K50"/>
  <c r="G50"/>
  <c r="J49"/>
  <c r="I49"/>
  <c r="H49"/>
  <c r="J48"/>
  <c r="I48"/>
  <c r="H48"/>
  <c r="Q47"/>
  <c r="J47"/>
  <c r="I47"/>
  <c r="H47"/>
  <c r="J46"/>
  <c r="J50"/>
  <c r="I46"/>
  <c r="H46"/>
  <c r="C45"/>
  <c r="H42"/>
  <c r="L35"/>
  <c r="K35"/>
  <c r="G35"/>
  <c r="J34"/>
  <c r="I34"/>
  <c r="H34"/>
  <c r="J33"/>
  <c r="I33"/>
  <c r="H33"/>
  <c r="Q32"/>
  <c r="J32"/>
  <c r="I32"/>
  <c r="H32"/>
  <c r="J31"/>
  <c r="J35" s="1"/>
  <c r="I31"/>
  <c r="H31"/>
  <c r="C30"/>
  <c r="L50" i="30"/>
  <c r="K50"/>
  <c r="G50"/>
  <c r="J49"/>
  <c r="I49"/>
  <c r="H49"/>
  <c r="J48"/>
  <c r="I48"/>
  <c r="H48"/>
  <c r="Q47"/>
  <c r="J47"/>
  <c r="I47"/>
  <c r="H47"/>
  <c r="J46"/>
  <c r="I46"/>
  <c r="H46"/>
  <c r="C45"/>
  <c r="H42"/>
  <c r="L35"/>
  <c r="K35"/>
  <c r="G35"/>
  <c r="J34"/>
  <c r="I34"/>
  <c r="H34"/>
  <c r="J33"/>
  <c r="I33"/>
  <c r="H33"/>
  <c r="Q32"/>
  <c r="J32"/>
  <c r="I32"/>
  <c r="H32"/>
  <c r="J31"/>
  <c r="J35"/>
  <c r="I31"/>
  <c r="H31"/>
  <c r="C30"/>
  <c r="L50" i="29"/>
  <c r="K50"/>
  <c r="G50"/>
  <c r="J49"/>
  <c r="I49"/>
  <c r="H49"/>
  <c r="J48"/>
  <c r="I48"/>
  <c r="H48"/>
  <c r="Q47"/>
  <c r="J47"/>
  <c r="I47"/>
  <c r="H47"/>
  <c r="J46"/>
  <c r="J50"/>
  <c r="I46"/>
  <c r="H46"/>
  <c r="C45"/>
  <c r="H42"/>
  <c r="L35"/>
  <c r="K35"/>
  <c r="G35"/>
  <c r="J34"/>
  <c r="I34"/>
  <c r="H34"/>
  <c r="J33"/>
  <c r="I33"/>
  <c r="H33"/>
  <c r="Q32"/>
  <c r="J32"/>
  <c r="I32"/>
  <c r="H32"/>
  <c r="J31"/>
  <c r="J35" s="1"/>
  <c r="I31"/>
  <c r="H31"/>
  <c r="C30"/>
  <c r="L50" i="28"/>
  <c r="K50"/>
  <c r="G50"/>
  <c r="J49"/>
  <c r="I49"/>
  <c r="H49"/>
  <c r="J48"/>
  <c r="I48"/>
  <c r="H48"/>
  <c r="Q47"/>
  <c r="J47"/>
  <c r="I47"/>
  <c r="H47"/>
  <c r="J46"/>
  <c r="I46"/>
  <c r="H46"/>
  <c r="C45"/>
  <c r="H42"/>
  <c r="L35"/>
  <c r="K35"/>
  <c r="G35"/>
  <c r="J34"/>
  <c r="I34"/>
  <c r="H34"/>
  <c r="J33"/>
  <c r="I33"/>
  <c r="H33"/>
  <c r="Q32"/>
  <c r="J32"/>
  <c r="I32"/>
  <c r="H32"/>
  <c r="J31"/>
  <c r="J35"/>
  <c r="I31"/>
  <c r="H31"/>
  <c r="C30"/>
  <c r="L50" i="27"/>
  <c r="K50"/>
  <c r="G50"/>
  <c r="J49"/>
  <c r="I49"/>
  <c r="H49"/>
  <c r="J48"/>
  <c r="I48"/>
  <c r="H48"/>
  <c r="Q47"/>
  <c r="J47"/>
  <c r="I47"/>
  <c r="H47"/>
  <c r="J46"/>
  <c r="J50"/>
  <c r="I46"/>
  <c r="H46"/>
  <c r="C45"/>
  <c r="H42"/>
  <c r="L35"/>
  <c r="K35"/>
  <c r="G35"/>
  <c r="J34"/>
  <c r="I34"/>
  <c r="H34"/>
  <c r="J33"/>
  <c r="I33"/>
  <c r="H33"/>
  <c r="Q32"/>
  <c r="J32"/>
  <c r="I32"/>
  <c r="H32"/>
  <c r="J31"/>
  <c r="J35" s="1"/>
  <c r="I31"/>
  <c r="H31"/>
  <c r="C30"/>
  <c r="L50" i="26"/>
  <c r="K50"/>
  <c r="G50"/>
  <c r="J49"/>
  <c r="I49"/>
  <c r="H49"/>
  <c r="J48"/>
  <c r="I48"/>
  <c r="H48"/>
  <c r="Q47"/>
  <c r="J47"/>
  <c r="I47"/>
  <c r="H47"/>
  <c r="J46"/>
  <c r="I46"/>
  <c r="H46"/>
  <c r="C45"/>
  <c r="H42"/>
  <c r="L35"/>
  <c r="K35"/>
  <c r="G35"/>
  <c r="J34"/>
  <c r="I34"/>
  <c r="H34"/>
  <c r="J33"/>
  <c r="I33"/>
  <c r="H33"/>
  <c r="Q32"/>
  <c r="J32"/>
  <c r="I32"/>
  <c r="H32"/>
  <c r="J31"/>
  <c r="J35"/>
  <c r="I31"/>
  <c r="H31"/>
  <c r="C30"/>
  <c r="L50" i="25"/>
  <c r="K50"/>
  <c r="G50"/>
  <c r="J49"/>
  <c r="I49"/>
  <c r="H49"/>
  <c r="J48"/>
  <c r="I48"/>
  <c r="H48"/>
  <c r="Q47"/>
  <c r="J47"/>
  <c r="I47"/>
  <c r="H47"/>
  <c r="J46"/>
  <c r="J50"/>
  <c r="I46"/>
  <c r="H46"/>
  <c r="C45"/>
  <c r="H42"/>
  <c r="L35"/>
  <c r="K35"/>
  <c r="G35"/>
  <c r="J34"/>
  <c r="I34"/>
  <c r="H34"/>
  <c r="J33"/>
  <c r="I33"/>
  <c r="H33"/>
  <c r="Q32"/>
  <c r="J32"/>
  <c r="I32"/>
  <c r="H32"/>
  <c r="J31"/>
  <c r="J35" s="1"/>
  <c r="I31"/>
  <c r="H31"/>
  <c r="C30"/>
  <c r="L50" i="24"/>
  <c r="K50"/>
  <c r="G50"/>
  <c r="J49"/>
  <c r="I49"/>
  <c r="H49"/>
  <c r="J48"/>
  <c r="I48"/>
  <c r="H48"/>
  <c r="Q47"/>
  <c r="J47"/>
  <c r="I47"/>
  <c r="H47"/>
  <c r="J46"/>
  <c r="I46"/>
  <c r="H46"/>
  <c r="C45"/>
  <c r="H42"/>
  <c r="L35"/>
  <c r="K35"/>
  <c r="G35"/>
  <c r="J34"/>
  <c r="I34"/>
  <c r="H34"/>
  <c r="J33"/>
  <c r="I33"/>
  <c r="H33"/>
  <c r="Q32"/>
  <c r="J32"/>
  <c r="I32"/>
  <c r="H32"/>
  <c r="J31"/>
  <c r="J35"/>
  <c r="I31"/>
  <c r="H31"/>
  <c r="C30"/>
  <c r="L50" i="23"/>
  <c r="K50"/>
  <c r="G50"/>
  <c r="J49"/>
  <c r="I49"/>
  <c r="H49"/>
  <c r="J48"/>
  <c r="I48"/>
  <c r="H48"/>
  <c r="Q47"/>
  <c r="J47"/>
  <c r="I47"/>
  <c r="H47"/>
  <c r="J46"/>
  <c r="J50"/>
  <c r="I46"/>
  <c r="H46"/>
  <c r="C45"/>
  <c r="H42"/>
  <c r="L35"/>
  <c r="K35"/>
  <c r="G35"/>
  <c r="J34"/>
  <c r="I34"/>
  <c r="H34"/>
  <c r="J33"/>
  <c r="I33"/>
  <c r="H33"/>
  <c r="Q32"/>
  <c r="J32"/>
  <c r="I32"/>
  <c r="H32"/>
  <c r="J31"/>
  <c r="J35" s="1"/>
  <c r="I31"/>
  <c r="H31"/>
  <c r="C30"/>
  <c r="L50" i="22"/>
  <c r="K50"/>
  <c r="G50"/>
  <c r="J49"/>
  <c r="I49"/>
  <c r="H49"/>
  <c r="J48"/>
  <c r="I48"/>
  <c r="H48"/>
  <c r="Q47"/>
  <c r="J47"/>
  <c r="I47"/>
  <c r="H47"/>
  <c r="J46"/>
  <c r="I46"/>
  <c r="H46"/>
  <c r="C45"/>
  <c r="H42"/>
  <c r="L35"/>
  <c r="K35"/>
  <c r="G35"/>
  <c r="J34"/>
  <c r="I34"/>
  <c r="H34"/>
  <c r="J33"/>
  <c r="I33"/>
  <c r="H33"/>
  <c r="Q32"/>
  <c r="J32"/>
  <c r="I32"/>
  <c r="H32"/>
  <c r="J31"/>
  <c r="J35"/>
  <c r="I31"/>
  <c r="H31"/>
  <c r="C30"/>
  <c r="L50" i="21"/>
  <c r="K50"/>
  <c r="G50"/>
  <c r="J49"/>
  <c r="I49"/>
  <c r="H49"/>
  <c r="J48"/>
  <c r="I48"/>
  <c r="H48"/>
  <c r="Q47"/>
  <c r="J47"/>
  <c r="I47"/>
  <c r="H47"/>
  <c r="J46"/>
  <c r="J50"/>
  <c r="I46"/>
  <c r="H46"/>
  <c r="C45"/>
  <c r="H42"/>
  <c r="L35"/>
  <c r="K35"/>
  <c r="G35"/>
  <c r="J34"/>
  <c r="I34"/>
  <c r="H34"/>
  <c r="J33"/>
  <c r="I33"/>
  <c r="H33"/>
  <c r="Q32"/>
  <c r="J32"/>
  <c r="I32"/>
  <c r="H32"/>
  <c r="J31"/>
  <c r="J35" s="1"/>
  <c r="I31"/>
  <c r="H31"/>
  <c r="C30"/>
  <c r="L50" i="20"/>
  <c r="K50"/>
  <c r="G50"/>
  <c r="J49"/>
  <c r="I49"/>
  <c r="H49"/>
  <c r="J48"/>
  <c r="I48"/>
  <c r="H48"/>
  <c r="Q47"/>
  <c r="J47"/>
  <c r="I47"/>
  <c r="H47"/>
  <c r="J46"/>
  <c r="I46"/>
  <c r="H46"/>
  <c r="C45"/>
  <c r="H42"/>
  <c r="L35"/>
  <c r="K35"/>
  <c r="G35"/>
  <c r="J34"/>
  <c r="I34"/>
  <c r="H34"/>
  <c r="J33"/>
  <c r="I33"/>
  <c r="H33"/>
  <c r="Q32"/>
  <c r="J32"/>
  <c r="I32"/>
  <c r="H32"/>
  <c r="J31"/>
  <c r="J35"/>
  <c r="I31"/>
  <c r="H31"/>
  <c r="C30"/>
  <c r="L50" i="19"/>
  <c r="K50"/>
  <c r="G50"/>
  <c r="J49"/>
  <c r="I49"/>
  <c r="H49"/>
  <c r="J48"/>
  <c r="I48"/>
  <c r="H48"/>
  <c r="Q47"/>
  <c r="J47"/>
  <c r="I47"/>
  <c r="H47"/>
  <c r="J46"/>
  <c r="J50"/>
  <c r="I46"/>
  <c r="H46"/>
  <c r="C45"/>
  <c r="H42"/>
  <c r="L35"/>
  <c r="K35"/>
  <c r="G35"/>
  <c r="J34"/>
  <c r="I34"/>
  <c r="H34"/>
  <c r="J33"/>
  <c r="I33"/>
  <c r="H33"/>
  <c r="Q32"/>
  <c r="J32"/>
  <c r="I32"/>
  <c r="H32"/>
  <c r="J31"/>
  <c r="J35" s="1"/>
  <c r="I31"/>
  <c r="H31"/>
  <c r="C30"/>
  <c r="L50" i="18"/>
  <c r="K50"/>
  <c r="G50"/>
  <c r="J49"/>
  <c r="I49"/>
  <c r="H49"/>
  <c r="J48"/>
  <c r="I48"/>
  <c r="H48"/>
  <c r="Q47"/>
  <c r="J47"/>
  <c r="I47"/>
  <c r="H47"/>
  <c r="J46"/>
  <c r="I46"/>
  <c r="H46"/>
  <c r="C45"/>
  <c r="H42"/>
  <c r="L35"/>
  <c r="K35"/>
  <c r="G35"/>
  <c r="J34"/>
  <c r="I34"/>
  <c r="H34"/>
  <c r="J33"/>
  <c r="I33"/>
  <c r="H33"/>
  <c r="Q32"/>
  <c r="J32"/>
  <c r="I32"/>
  <c r="H32"/>
  <c r="J31"/>
  <c r="J35"/>
  <c r="I31"/>
  <c r="H31"/>
  <c r="C30"/>
  <c r="L50" i="16"/>
  <c r="K50"/>
  <c r="G50"/>
  <c r="J49"/>
  <c r="I49"/>
  <c r="H49"/>
  <c r="J48"/>
  <c r="I48"/>
  <c r="H48"/>
  <c r="Q47"/>
  <c r="J47"/>
  <c r="I47"/>
  <c r="H47"/>
  <c r="J46"/>
  <c r="J50"/>
  <c r="I46"/>
  <c r="H46"/>
  <c r="C45"/>
  <c r="H42"/>
  <c r="L35"/>
  <c r="K35"/>
  <c r="G35"/>
  <c r="J34"/>
  <c r="I34"/>
  <c r="H34"/>
  <c r="J33"/>
  <c r="I33"/>
  <c r="H33"/>
  <c r="Q32"/>
  <c r="J32"/>
  <c r="I32"/>
  <c r="H32"/>
  <c r="J31"/>
  <c r="J35" s="1"/>
  <c r="I31"/>
  <c r="H31"/>
  <c r="C30"/>
  <c r="L50" i="15"/>
  <c r="K50"/>
  <c r="G50"/>
  <c r="J49"/>
  <c r="I49"/>
  <c r="H49"/>
  <c r="J48"/>
  <c r="I48"/>
  <c r="H48"/>
  <c r="Q47"/>
  <c r="J47"/>
  <c r="I47"/>
  <c r="H47"/>
  <c r="J46"/>
  <c r="I46"/>
  <c r="H46"/>
  <c r="C45"/>
  <c r="H42"/>
  <c r="L35"/>
  <c r="K35"/>
  <c r="G35"/>
  <c r="J34"/>
  <c r="I34"/>
  <c r="H34"/>
  <c r="J33"/>
  <c r="I33"/>
  <c r="H33"/>
  <c r="Q32"/>
  <c r="J32"/>
  <c r="I32"/>
  <c r="H32"/>
  <c r="J31"/>
  <c r="J35"/>
  <c r="I31"/>
  <c r="H31"/>
  <c r="C30"/>
  <c r="L50" i="14"/>
  <c r="K50"/>
  <c r="G50"/>
  <c r="J49"/>
  <c r="I49"/>
  <c r="H49"/>
  <c r="J48"/>
  <c r="I48"/>
  <c r="H48"/>
  <c r="Q47"/>
  <c r="J47"/>
  <c r="I47"/>
  <c r="H47"/>
  <c r="J46"/>
  <c r="J50"/>
  <c r="I46"/>
  <c r="H46"/>
  <c r="C45"/>
  <c r="H42"/>
  <c r="L35"/>
  <c r="K35"/>
  <c r="G35"/>
  <c r="J34"/>
  <c r="I34"/>
  <c r="H34"/>
  <c r="J33"/>
  <c r="I33"/>
  <c r="H33"/>
  <c r="Q32"/>
  <c r="J32"/>
  <c r="I32"/>
  <c r="H32"/>
  <c r="J31"/>
  <c r="J35" s="1"/>
  <c r="I31"/>
  <c r="H31"/>
  <c r="C30"/>
  <c r="L50" i="13"/>
  <c r="K50"/>
  <c r="G50"/>
  <c r="J49"/>
  <c r="I49"/>
  <c r="H49"/>
  <c r="J48"/>
  <c r="I48"/>
  <c r="H48"/>
  <c r="Q47"/>
  <c r="J47"/>
  <c r="I47"/>
  <c r="H47"/>
  <c r="J46"/>
  <c r="I46"/>
  <c r="H46"/>
  <c r="C45"/>
  <c r="H42"/>
  <c r="L35"/>
  <c r="K35"/>
  <c r="G35"/>
  <c r="J34"/>
  <c r="I34"/>
  <c r="H34"/>
  <c r="J33"/>
  <c r="I33"/>
  <c r="H33"/>
  <c r="Q32"/>
  <c r="J32"/>
  <c r="I32"/>
  <c r="H32"/>
  <c r="J31"/>
  <c r="J35"/>
  <c r="I31"/>
  <c r="H31"/>
  <c r="C30"/>
  <c r="H42" i="6"/>
  <c r="H27"/>
  <c r="H11"/>
  <c r="Q11"/>
  <c r="R11"/>
  <c r="Q12"/>
  <c r="R12"/>
  <c r="Q13"/>
  <c r="R13"/>
  <c r="Q14"/>
  <c r="R14"/>
  <c r="Q15"/>
  <c r="R15"/>
  <c r="Q16"/>
  <c r="R16"/>
  <c r="Q17"/>
  <c r="R17"/>
  <c r="Q18"/>
  <c r="R18"/>
  <c r="Q19"/>
  <c r="R19"/>
  <c r="Q20"/>
  <c r="R20"/>
  <c r="Q21"/>
  <c r="R21"/>
  <c r="P12"/>
  <c r="P13"/>
  <c r="P14"/>
  <c r="P15"/>
  <c r="P16"/>
  <c r="P17"/>
  <c r="P18"/>
  <c r="P19"/>
  <c r="P20"/>
  <c r="P21"/>
  <c r="P11"/>
  <c r="W115" i="34"/>
  <c r="W18" s="1"/>
  <c r="W125" s="1"/>
  <c r="U115"/>
  <c r="U18"/>
  <c r="U124" s="1"/>
  <c r="S115"/>
  <c r="S18" s="1"/>
  <c r="Q115"/>
  <c r="Q18" s="1"/>
  <c r="O115"/>
  <c r="O18" s="1"/>
  <c r="M115"/>
  <c r="M18" s="1"/>
  <c r="K115"/>
  <c r="K18" s="1"/>
  <c r="K124" s="1"/>
  <c r="I115"/>
  <c r="I18" s="1"/>
  <c r="W13"/>
  <c r="U13"/>
  <c r="S13"/>
  <c r="O13"/>
  <c r="M23"/>
  <c r="M126" s="1"/>
  <c r="M127"/>
  <c r="M75"/>
  <c r="M74"/>
  <c r="M129"/>
  <c r="K13"/>
  <c r="Q47" i="6"/>
  <c r="Q32"/>
  <c r="I19"/>
  <c r="I18"/>
  <c r="I17"/>
  <c r="F23" i="34" s="1"/>
  <c r="F126" s="1"/>
  <c r="I16" i="6"/>
  <c r="G115" i="34"/>
  <c r="G18" s="1"/>
  <c r="H115"/>
  <c r="H18" s="1"/>
  <c r="J115"/>
  <c r="J18" s="1"/>
  <c r="L115"/>
  <c r="L18" s="1"/>
  <c r="N115"/>
  <c r="N18" s="1"/>
  <c r="P115"/>
  <c r="P18" s="1"/>
  <c r="R115"/>
  <c r="R18" s="1"/>
  <c r="T115"/>
  <c r="T18" s="1"/>
  <c r="V115"/>
  <c r="V18" s="1"/>
  <c r="X115"/>
  <c r="X18" s="1"/>
  <c r="Y115"/>
  <c r="Y18" s="1"/>
  <c r="F115"/>
  <c r="F13" s="1"/>
  <c r="Y23"/>
  <c r="X23"/>
  <c r="W23"/>
  <c r="V23"/>
  <c r="V126" s="1"/>
  <c r="U23"/>
  <c r="T23"/>
  <c r="S23"/>
  <c r="R23"/>
  <c r="Q23"/>
  <c r="P23"/>
  <c r="O23"/>
  <c r="N23"/>
  <c r="L23"/>
  <c r="K23"/>
  <c r="J23"/>
  <c r="I23"/>
  <c r="H23"/>
  <c r="G23"/>
  <c r="L20" i="6"/>
  <c r="K20"/>
  <c r="U77" i="34"/>
  <c r="M584"/>
  <c r="N584" s="1"/>
  <c r="C4" i="10" s="1"/>
  <c r="A23" i="3"/>
  <c r="A22"/>
  <c r="A21"/>
  <c r="A20"/>
  <c r="A19"/>
  <c r="A18"/>
  <c r="A17"/>
  <c r="A16"/>
  <c r="A15"/>
  <c r="A14"/>
  <c r="A13"/>
  <c r="A12"/>
  <c r="A11"/>
  <c r="A10"/>
  <c r="A9"/>
  <c r="A8"/>
  <c r="A7"/>
  <c r="A6"/>
  <c r="A5"/>
  <c r="A4"/>
  <c r="A4" i="11"/>
  <c r="B4"/>
  <c r="A7"/>
  <c r="B7"/>
  <c r="A10"/>
  <c r="B10"/>
  <c r="A13"/>
  <c r="B13"/>
  <c r="A16"/>
  <c r="B16"/>
  <c r="A19"/>
  <c r="B19"/>
  <c r="A22"/>
  <c r="B22"/>
  <c r="A25"/>
  <c r="B25"/>
  <c r="A28"/>
  <c r="B28"/>
  <c r="A31"/>
  <c r="B31"/>
  <c r="A37"/>
  <c r="B37"/>
  <c r="A40"/>
  <c r="B40"/>
  <c r="A43"/>
  <c r="B43"/>
  <c r="A46"/>
  <c r="B46"/>
  <c r="A49"/>
  <c r="B49"/>
  <c r="A52"/>
  <c r="B52"/>
  <c r="A55"/>
  <c r="B55"/>
  <c r="A58"/>
  <c r="B58"/>
  <c r="A61"/>
  <c r="B61"/>
  <c r="A64"/>
  <c r="B64"/>
  <c r="A4" i="10"/>
  <c r="A23"/>
  <c r="A22"/>
  <c r="A21"/>
  <c r="A20"/>
  <c r="A19"/>
  <c r="A18"/>
  <c r="A17"/>
  <c r="A16"/>
  <c r="A15"/>
  <c r="A14"/>
  <c r="A13"/>
  <c r="A12"/>
  <c r="A11"/>
  <c r="A10"/>
  <c r="A9"/>
  <c r="A8"/>
  <c r="A7"/>
  <c r="A6"/>
  <c r="A5"/>
  <c r="M586" i="34"/>
  <c r="N586" s="1"/>
  <c r="C6" i="10" s="1"/>
  <c r="M585" i="34"/>
  <c r="N585" s="1"/>
  <c r="C5" i="10" s="1"/>
  <c r="G574" i="34"/>
  <c r="G575"/>
  <c r="G576"/>
  <c r="L584"/>
  <c r="L4" i="4" s="1"/>
  <c r="L603" i="34"/>
  <c r="L23" i="4" s="1"/>
  <c r="L602" i="34"/>
  <c r="L22" i="4" s="1"/>
  <c r="L601" i="34"/>
  <c r="L21" i="4" s="1"/>
  <c r="L600" i="34"/>
  <c r="L20" i="4" s="1"/>
  <c r="L599" i="34"/>
  <c r="L19" i="4" s="1"/>
  <c r="L598" i="34"/>
  <c r="L18" i="4" s="1"/>
  <c r="L597" i="34"/>
  <c r="L17" i="4" s="1"/>
  <c r="L596" i="34"/>
  <c r="L16" i="4" s="1"/>
  <c r="L595" i="34"/>
  <c r="L15" i="4" s="1"/>
  <c r="L594" i="34"/>
  <c r="L14" i="4" s="1"/>
  <c r="L593" i="34"/>
  <c r="L13" i="4" s="1"/>
  <c r="L592" i="34"/>
  <c r="L12" i="4" s="1"/>
  <c r="L591" i="34"/>
  <c r="L11" i="4" s="1"/>
  <c r="L590" i="34"/>
  <c r="L10" i="4" s="1"/>
  <c r="L589" i="34"/>
  <c r="L9" i="4" s="1"/>
  <c r="L588" i="34"/>
  <c r="L8" i="4" s="1"/>
  <c r="L587" i="34"/>
  <c r="L7" i="4" s="1"/>
  <c r="L586" i="34"/>
  <c r="L6" i="4" s="1"/>
  <c r="L585" i="34"/>
  <c r="L5" i="4" s="1"/>
  <c r="H584" i="34"/>
  <c r="F572" s="1"/>
  <c r="F4" s="1"/>
  <c r="H585"/>
  <c r="G572"/>
  <c r="G4" s="1"/>
  <c r="H586"/>
  <c r="H572" s="1"/>
  <c r="H4" s="1"/>
  <c r="H587"/>
  <c r="I572" s="1"/>
  <c r="I4" s="1"/>
  <c r="H588"/>
  <c r="J572" s="1"/>
  <c r="J4" s="1"/>
  <c r="H589"/>
  <c r="K572" s="1"/>
  <c r="K4" s="1"/>
  <c r="H590"/>
  <c r="L572" s="1"/>
  <c r="L4" s="1"/>
  <c r="H591"/>
  <c r="M572" s="1"/>
  <c r="M4" s="1"/>
  <c r="H592"/>
  <c r="N572" s="1"/>
  <c r="N4" s="1"/>
  <c r="H593"/>
  <c r="O572" s="1"/>
  <c r="O4" s="1"/>
  <c r="H594"/>
  <c r="P572" s="1"/>
  <c r="P4" s="1"/>
  <c r="H595"/>
  <c r="Q572" s="1"/>
  <c r="Q4" s="1"/>
  <c r="H596"/>
  <c r="R572" s="1"/>
  <c r="R4" s="1"/>
  <c r="H597"/>
  <c r="S572" s="1"/>
  <c r="S4" s="1"/>
  <c r="H598"/>
  <c r="T572" s="1"/>
  <c r="T4" s="1"/>
  <c r="H599"/>
  <c r="U572" s="1"/>
  <c r="U4" s="1"/>
  <c r="H600"/>
  <c r="V572" s="1"/>
  <c r="V4" s="1"/>
  <c r="H601"/>
  <c r="W572" s="1"/>
  <c r="W4" s="1"/>
  <c r="H602"/>
  <c r="X572" s="1"/>
  <c r="X4" s="1"/>
  <c r="H603"/>
  <c r="Y572" s="1"/>
  <c r="Y4" s="1"/>
  <c r="G585"/>
  <c r="G571" s="1"/>
  <c r="G3" s="1"/>
  <c r="G586"/>
  <c r="H571" s="1"/>
  <c r="H3" s="1"/>
  <c r="G587"/>
  <c r="I571" s="1"/>
  <c r="I3" s="1"/>
  <c r="G588"/>
  <c r="J571" s="1"/>
  <c r="J3" s="1"/>
  <c r="G589"/>
  <c r="K571" s="1"/>
  <c r="K3" s="1"/>
  <c r="G590"/>
  <c r="L571" s="1"/>
  <c r="L3" s="1"/>
  <c r="G591"/>
  <c r="M571" s="1"/>
  <c r="M3" s="1"/>
  <c r="G592"/>
  <c r="N571" s="1"/>
  <c r="N3" s="1"/>
  <c r="G593"/>
  <c r="O571" s="1"/>
  <c r="O3" s="1"/>
  <c r="G594"/>
  <c r="P571" s="1"/>
  <c r="P3" s="1"/>
  <c r="G595"/>
  <c r="Q571" s="1"/>
  <c r="Q3" s="1"/>
  <c r="G596"/>
  <c r="R571" s="1"/>
  <c r="R3" s="1"/>
  <c r="G597"/>
  <c r="S571" s="1"/>
  <c r="S3" s="1"/>
  <c r="G598"/>
  <c r="T571"/>
  <c r="T3" s="1"/>
  <c r="G599"/>
  <c r="U571" s="1"/>
  <c r="U3" s="1"/>
  <c r="G600"/>
  <c r="V571" s="1"/>
  <c r="V3" s="1"/>
  <c r="G601"/>
  <c r="W571" s="1"/>
  <c r="W3" s="1"/>
  <c r="G602"/>
  <c r="X571" s="1"/>
  <c r="X3" s="1"/>
  <c r="G603"/>
  <c r="Y571" s="1"/>
  <c r="Y3" s="1"/>
  <c r="G584"/>
  <c r="F571" s="1"/>
  <c r="F3" s="1"/>
  <c r="M603"/>
  <c r="N603" s="1"/>
  <c r="C23" i="10" s="1"/>
  <c r="M602" i="34"/>
  <c r="N602" s="1"/>
  <c r="C22" i="10" s="1"/>
  <c r="M601" i="34"/>
  <c r="N601" s="1"/>
  <c r="C21" i="10" s="1"/>
  <c r="M600" i="34"/>
  <c r="N600" s="1"/>
  <c r="C20" i="10"/>
  <c r="M599" i="34"/>
  <c r="N599"/>
  <c r="C19" i="10" s="1"/>
  <c r="M19" i="4" s="1"/>
  <c r="M598" i="34"/>
  <c r="N598"/>
  <c r="C18" i="10" s="1"/>
  <c r="M597" i="34"/>
  <c r="N597" s="1"/>
  <c r="C17" i="10" s="1"/>
  <c r="M596" i="34"/>
  <c r="N596" s="1"/>
  <c r="C16" i="10" s="1"/>
  <c r="M595" i="34"/>
  <c r="N595" s="1"/>
  <c r="C15" i="10" s="1"/>
  <c r="M594" i="34"/>
  <c r="N594" s="1"/>
  <c r="C14" i="10" s="1"/>
  <c r="M593" i="34"/>
  <c r="N593" s="1"/>
  <c r="C13" i="10" s="1"/>
  <c r="M592" i="34"/>
  <c r="N592"/>
  <c r="C12" i="10" s="1"/>
  <c r="M591" i="34"/>
  <c r="N591" s="1"/>
  <c r="C11" i="10" s="1"/>
  <c r="M590" i="34"/>
  <c r="N590" s="1"/>
  <c r="C10" i="10" s="1"/>
  <c r="M589" i="34"/>
  <c r="N589" s="1"/>
  <c r="C9" i="10" s="1"/>
  <c r="M588" i="34"/>
  <c r="N588" s="1"/>
  <c r="C8" i="10" s="1"/>
  <c r="M587" i="34"/>
  <c r="N587" s="1"/>
  <c r="C7" i="10" s="1"/>
  <c r="F580" i="34"/>
  <c r="F579"/>
  <c r="F578"/>
  <c r="F576"/>
  <c r="F575"/>
  <c r="F574"/>
  <c r="F38"/>
  <c r="G38"/>
  <c r="G55" s="1"/>
  <c r="H38"/>
  <c r="I38"/>
  <c r="I55" s="1"/>
  <c r="J38"/>
  <c r="K38"/>
  <c r="K55"/>
  <c r="L38"/>
  <c r="M38"/>
  <c r="M55" s="1"/>
  <c r="N38"/>
  <c r="O38"/>
  <c r="O55" s="1"/>
  <c r="P38"/>
  <c r="Q38"/>
  <c r="Q55" s="1"/>
  <c r="R38"/>
  <c r="S38"/>
  <c r="S55"/>
  <c r="T38"/>
  <c r="U38"/>
  <c r="U55" s="1"/>
  <c r="V38"/>
  <c r="W38"/>
  <c r="W55" s="1"/>
  <c r="X38"/>
  <c r="Y38"/>
  <c r="Y55" s="1"/>
  <c r="F40"/>
  <c r="F73" s="1"/>
  <c r="G40"/>
  <c r="G73" s="1"/>
  <c r="H40"/>
  <c r="I40"/>
  <c r="J40"/>
  <c r="J73" s="1"/>
  <c r="K40"/>
  <c r="K73" s="1"/>
  <c r="L40"/>
  <c r="L73" s="1"/>
  <c r="M40"/>
  <c r="M73" s="1"/>
  <c r="N40"/>
  <c r="N73" s="1"/>
  <c r="O40"/>
  <c r="O73" s="1"/>
  <c r="P40"/>
  <c r="P73" s="1"/>
  <c r="Q40"/>
  <c r="R40"/>
  <c r="R73" s="1"/>
  <c r="S40"/>
  <c r="T40"/>
  <c r="T73" s="1"/>
  <c r="T42" s="1"/>
  <c r="U40"/>
  <c r="U73" s="1"/>
  <c r="U42" s="1"/>
  <c r="V40"/>
  <c r="W40"/>
  <c r="X40"/>
  <c r="X73" s="1"/>
  <c r="X42" s="1"/>
  <c r="Y40"/>
  <c r="F41"/>
  <c r="G41"/>
  <c r="H41"/>
  <c r="I41"/>
  <c r="J41"/>
  <c r="K41"/>
  <c r="L41"/>
  <c r="M41"/>
  <c r="N41"/>
  <c r="O41"/>
  <c r="P41"/>
  <c r="Q41"/>
  <c r="R41"/>
  <c r="S41"/>
  <c r="T41"/>
  <c r="U41"/>
  <c r="V41"/>
  <c r="W41"/>
  <c r="X41"/>
  <c r="Y41"/>
  <c r="C44"/>
  <c r="F52"/>
  <c r="G52"/>
  <c r="H52"/>
  <c r="I52"/>
  <c r="J52"/>
  <c r="K52"/>
  <c r="L52"/>
  <c r="M52"/>
  <c r="N52"/>
  <c r="O52"/>
  <c r="P52"/>
  <c r="Q52"/>
  <c r="R52"/>
  <c r="S52"/>
  <c r="T52"/>
  <c r="U52"/>
  <c r="V52"/>
  <c r="W52"/>
  <c r="X52"/>
  <c r="Y52"/>
  <c r="F54"/>
  <c r="G54"/>
  <c r="H54"/>
  <c r="I54"/>
  <c r="J54"/>
  <c r="K54"/>
  <c r="L54"/>
  <c r="M54"/>
  <c r="N54"/>
  <c r="O54"/>
  <c r="P54"/>
  <c r="Q54"/>
  <c r="R54"/>
  <c r="S54"/>
  <c r="T54"/>
  <c r="U54"/>
  <c r="V54"/>
  <c r="W54"/>
  <c r="X54"/>
  <c r="Y54"/>
  <c r="F55"/>
  <c r="H55"/>
  <c r="J55"/>
  <c r="L55"/>
  <c r="N55"/>
  <c r="P55"/>
  <c r="R55"/>
  <c r="T55"/>
  <c r="V55"/>
  <c r="X55"/>
  <c r="F56"/>
  <c r="G56"/>
  <c r="H56"/>
  <c r="I56"/>
  <c r="J56"/>
  <c r="K56"/>
  <c r="L56"/>
  <c r="M56"/>
  <c r="N56"/>
  <c r="O56"/>
  <c r="P56"/>
  <c r="Q56"/>
  <c r="R56"/>
  <c r="S56"/>
  <c r="T56"/>
  <c r="U56"/>
  <c r="V56"/>
  <c r="W56"/>
  <c r="X56"/>
  <c r="Y56"/>
  <c r="F57"/>
  <c r="G57"/>
  <c r="H57"/>
  <c r="I57"/>
  <c r="J57"/>
  <c r="K57"/>
  <c r="L57"/>
  <c r="M57"/>
  <c r="N57"/>
  <c r="O57"/>
  <c r="P57"/>
  <c r="Q57"/>
  <c r="R57"/>
  <c r="S57"/>
  <c r="T57"/>
  <c r="U57"/>
  <c r="V57"/>
  <c r="W57"/>
  <c r="X57"/>
  <c r="Y57"/>
  <c r="F58"/>
  <c r="G58"/>
  <c r="H58"/>
  <c r="I58"/>
  <c r="J58"/>
  <c r="K58"/>
  <c r="L58"/>
  <c r="M58"/>
  <c r="N58"/>
  <c r="O58"/>
  <c r="P58"/>
  <c r="Q58"/>
  <c r="R58"/>
  <c r="S58"/>
  <c r="T58"/>
  <c r="U58"/>
  <c r="V58"/>
  <c r="W58"/>
  <c r="X58"/>
  <c r="Y58"/>
  <c r="F59"/>
  <c r="F61" s="1"/>
  <c r="F39" s="1"/>
  <c r="G59"/>
  <c r="H59"/>
  <c r="I59"/>
  <c r="J59"/>
  <c r="K59"/>
  <c r="L59"/>
  <c r="M59"/>
  <c r="N59"/>
  <c r="N61"/>
  <c r="N39" s="1"/>
  <c r="O59"/>
  <c r="P59"/>
  <c r="P61" s="1"/>
  <c r="P39" s="1"/>
  <c r="Q59"/>
  <c r="R59"/>
  <c r="R61" s="1"/>
  <c r="R39" s="1"/>
  <c r="S59"/>
  <c r="T59"/>
  <c r="U59"/>
  <c r="V59"/>
  <c r="W59"/>
  <c r="X59"/>
  <c r="Y59"/>
  <c r="F63"/>
  <c r="G63"/>
  <c r="H63"/>
  <c r="I63"/>
  <c r="J63"/>
  <c r="K63"/>
  <c r="L63"/>
  <c r="M63"/>
  <c r="N63"/>
  <c r="O63"/>
  <c r="P63"/>
  <c r="Q63"/>
  <c r="R63"/>
  <c r="S63"/>
  <c r="T63"/>
  <c r="U63"/>
  <c r="V63"/>
  <c r="W63"/>
  <c r="X63"/>
  <c r="Y63"/>
  <c r="I73"/>
  <c r="Q73"/>
  <c r="Y73"/>
  <c r="F74"/>
  <c r="G74"/>
  <c r="H74"/>
  <c r="I74"/>
  <c r="J74"/>
  <c r="K74"/>
  <c r="L74"/>
  <c r="N74"/>
  <c r="O74"/>
  <c r="P74"/>
  <c r="Q74"/>
  <c r="R74"/>
  <c r="S74"/>
  <c r="T74"/>
  <c r="U74"/>
  <c r="V74"/>
  <c r="W74"/>
  <c r="X74"/>
  <c r="Y74"/>
  <c r="F75"/>
  <c r="G75"/>
  <c r="G128" s="1"/>
  <c r="H75"/>
  <c r="I75"/>
  <c r="J75"/>
  <c r="K75"/>
  <c r="L75"/>
  <c r="L128" s="1"/>
  <c r="N75"/>
  <c r="O75"/>
  <c r="P75"/>
  <c r="P128" s="1"/>
  <c r="Q75"/>
  <c r="R75"/>
  <c r="S75"/>
  <c r="T75"/>
  <c r="T128" s="1"/>
  <c r="U75"/>
  <c r="V75"/>
  <c r="V128" s="1"/>
  <c r="W75"/>
  <c r="X75"/>
  <c r="X128" s="1"/>
  <c r="Y75"/>
  <c r="Y128" s="1"/>
  <c r="F76"/>
  <c r="F43" s="1"/>
  <c r="G76"/>
  <c r="G43" s="1"/>
  <c r="H76"/>
  <c r="H43" s="1"/>
  <c r="I76"/>
  <c r="I43" s="1"/>
  <c r="J76"/>
  <c r="J43" s="1"/>
  <c r="K76"/>
  <c r="K43" s="1"/>
  <c r="L76"/>
  <c r="L43" s="1"/>
  <c r="M76"/>
  <c r="M43" s="1"/>
  <c r="N76"/>
  <c r="N43" s="1"/>
  <c r="O76"/>
  <c r="O43" s="1"/>
  <c r="P76"/>
  <c r="P43" s="1"/>
  <c r="Q76"/>
  <c r="Q43" s="1"/>
  <c r="R76"/>
  <c r="R43" s="1"/>
  <c r="S76"/>
  <c r="S43" s="1"/>
  <c r="T76"/>
  <c r="T43" s="1"/>
  <c r="U76"/>
  <c r="U43" s="1"/>
  <c r="V76"/>
  <c r="V43" s="1"/>
  <c r="W76"/>
  <c r="W43" s="1"/>
  <c r="X76"/>
  <c r="X43" s="1"/>
  <c r="Y76"/>
  <c r="Y43" s="1"/>
  <c r="O77"/>
  <c r="S77"/>
  <c r="W77"/>
  <c r="F79"/>
  <c r="F82" s="1"/>
  <c r="G79"/>
  <c r="G82" s="1"/>
  <c r="H79"/>
  <c r="H82" s="1"/>
  <c r="I79"/>
  <c r="I82"/>
  <c r="J79"/>
  <c r="J91"/>
  <c r="K79"/>
  <c r="K82"/>
  <c r="L79"/>
  <c r="M79"/>
  <c r="M82" s="1"/>
  <c r="N79"/>
  <c r="N91" s="1"/>
  <c r="O79"/>
  <c r="O82" s="1"/>
  <c r="P79"/>
  <c r="P82" s="1"/>
  <c r="Q79"/>
  <c r="Q82" s="1"/>
  <c r="R79"/>
  <c r="R91" s="1"/>
  <c r="S79"/>
  <c r="S82" s="1"/>
  <c r="T79"/>
  <c r="T82" s="1"/>
  <c r="U79"/>
  <c r="U82" s="1"/>
  <c r="V79"/>
  <c r="V91" s="1"/>
  <c r="W79"/>
  <c r="W82" s="1"/>
  <c r="X79"/>
  <c r="X82" s="1"/>
  <c r="Y79"/>
  <c r="Y82"/>
  <c r="D127"/>
  <c r="F80"/>
  <c r="H80"/>
  <c r="I80"/>
  <c r="J80"/>
  <c r="K80"/>
  <c r="L80"/>
  <c r="M80"/>
  <c r="N80"/>
  <c r="O80"/>
  <c r="P80"/>
  <c r="Q80"/>
  <c r="R80"/>
  <c r="S80"/>
  <c r="T80"/>
  <c r="U80"/>
  <c r="V80"/>
  <c r="W80"/>
  <c r="X80"/>
  <c r="Y80"/>
  <c r="J82"/>
  <c r="L82"/>
  <c r="N82"/>
  <c r="R82"/>
  <c r="V82"/>
  <c r="F83"/>
  <c r="F81" s="1"/>
  <c r="G83"/>
  <c r="G81" s="1"/>
  <c r="H83"/>
  <c r="H81" s="1"/>
  <c r="I83"/>
  <c r="I81" s="1"/>
  <c r="J83"/>
  <c r="J81" s="1"/>
  <c r="K83"/>
  <c r="K81" s="1"/>
  <c r="L83"/>
  <c r="L81" s="1"/>
  <c r="M83"/>
  <c r="M81" s="1"/>
  <c r="N83"/>
  <c r="N81" s="1"/>
  <c r="O83"/>
  <c r="O81" s="1"/>
  <c r="P83"/>
  <c r="P81" s="1"/>
  <c r="Q83"/>
  <c r="Q81" s="1"/>
  <c r="R83"/>
  <c r="R81" s="1"/>
  <c r="S83"/>
  <c r="S81" s="1"/>
  <c r="T83"/>
  <c r="T81" s="1"/>
  <c r="U83"/>
  <c r="U81" s="1"/>
  <c r="V83"/>
  <c r="V81" s="1"/>
  <c r="W83"/>
  <c r="W81" s="1"/>
  <c r="X83"/>
  <c r="X81" s="1"/>
  <c r="Y83"/>
  <c r="Y81" s="1"/>
  <c r="C84"/>
  <c r="F84"/>
  <c r="G84"/>
  <c r="H84"/>
  <c r="I84"/>
  <c r="J84"/>
  <c r="K84"/>
  <c r="L84"/>
  <c r="M84"/>
  <c r="N84"/>
  <c r="N86" s="1"/>
  <c r="O84"/>
  <c r="P84"/>
  <c r="P85"/>
  <c r="Q84"/>
  <c r="R84"/>
  <c r="S84"/>
  <c r="S86" s="1"/>
  <c r="T84"/>
  <c r="U84"/>
  <c r="V84"/>
  <c r="W84"/>
  <c r="X84"/>
  <c r="Y84"/>
  <c r="Y86" s="1"/>
  <c r="F85"/>
  <c r="F86"/>
  <c r="G85"/>
  <c r="H85"/>
  <c r="H86" s="1"/>
  <c r="I85"/>
  <c r="J85"/>
  <c r="K85"/>
  <c r="L85"/>
  <c r="M85"/>
  <c r="N85"/>
  <c r="O85"/>
  <c r="Q85"/>
  <c r="R85"/>
  <c r="S85"/>
  <c r="T85"/>
  <c r="T86" s="1"/>
  <c r="U85"/>
  <c r="V85"/>
  <c r="W85"/>
  <c r="X85"/>
  <c r="Y85"/>
  <c r="C86"/>
  <c r="O87"/>
  <c r="S87"/>
  <c r="H91"/>
  <c r="L91"/>
  <c r="P91"/>
  <c r="T91"/>
  <c r="X91"/>
  <c r="B92"/>
  <c r="F92"/>
  <c r="F90" s="1"/>
  <c r="G92"/>
  <c r="G90" s="1"/>
  <c r="H92"/>
  <c r="H90" s="1"/>
  <c r="I92"/>
  <c r="I90" s="1"/>
  <c r="J92"/>
  <c r="J90" s="1"/>
  <c r="K92"/>
  <c r="K90" s="1"/>
  <c r="L92"/>
  <c r="L90" s="1"/>
  <c r="M92"/>
  <c r="M90" s="1"/>
  <c r="N92"/>
  <c r="N90" s="1"/>
  <c r="O92"/>
  <c r="O90" s="1"/>
  <c r="P92"/>
  <c r="P90" s="1"/>
  <c r="Q92"/>
  <c r="Q90" s="1"/>
  <c r="R92"/>
  <c r="R90" s="1"/>
  <c r="S92"/>
  <c r="S90" s="1"/>
  <c r="T92"/>
  <c r="T90" s="1"/>
  <c r="U92"/>
  <c r="U90" s="1"/>
  <c r="V92"/>
  <c r="V90" s="1"/>
  <c r="W92"/>
  <c r="W90" s="1"/>
  <c r="X92"/>
  <c r="X90" s="1"/>
  <c r="Y92"/>
  <c r="Y90" s="1"/>
  <c r="F93"/>
  <c r="G93"/>
  <c r="H93"/>
  <c r="H94"/>
  <c r="H95" s="1"/>
  <c r="I93"/>
  <c r="J93"/>
  <c r="K93"/>
  <c r="L93"/>
  <c r="M93"/>
  <c r="N93"/>
  <c r="O93"/>
  <c r="P93"/>
  <c r="P95" s="1"/>
  <c r="Q93"/>
  <c r="R93"/>
  <c r="S93"/>
  <c r="T93"/>
  <c r="U93"/>
  <c r="V93"/>
  <c r="W93"/>
  <c r="X93"/>
  <c r="Y93"/>
  <c r="F94"/>
  <c r="G94"/>
  <c r="I94"/>
  <c r="J94"/>
  <c r="K94"/>
  <c r="L94"/>
  <c r="L95"/>
  <c r="M94"/>
  <c r="N94"/>
  <c r="N95" s="1"/>
  <c r="O94"/>
  <c r="P94"/>
  <c r="Q94"/>
  <c r="R94"/>
  <c r="S94"/>
  <c r="T94"/>
  <c r="U94"/>
  <c r="V94"/>
  <c r="W94"/>
  <c r="X94"/>
  <c r="Y94"/>
  <c r="W96"/>
  <c r="F103"/>
  <c r="H103"/>
  <c r="J103"/>
  <c r="L103"/>
  <c r="N103"/>
  <c r="P103"/>
  <c r="R103"/>
  <c r="T103"/>
  <c r="V103"/>
  <c r="X103"/>
  <c r="F104"/>
  <c r="G104"/>
  <c r="G102" s="1"/>
  <c r="H104"/>
  <c r="I104"/>
  <c r="J104"/>
  <c r="K104"/>
  <c r="L104"/>
  <c r="M104"/>
  <c r="M102" s="1"/>
  <c r="N104"/>
  <c r="O104"/>
  <c r="O102" s="1"/>
  <c r="P104"/>
  <c r="Q104"/>
  <c r="R104"/>
  <c r="S104"/>
  <c r="S102" s="1"/>
  <c r="T104"/>
  <c r="U104"/>
  <c r="U102" s="1"/>
  <c r="V104"/>
  <c r="W104"/>
  <c r="W102" s="1"/>
  <c r="X104"/>
  <c r="Y104"/>
  <c r="W105"/>
  <c r="I114"/>
  <c r="Q114"/>
  <c r="Y114"/>
  <c r="F119"/>
  <c r="G119"/>
  <c r="H119"/>
  <c r="I119"/>
  <c r="J119"/>
  <c r="K119"/>
  <c r="L119"/>
  <c r="M119"/>
  <c r="N119"/>
  <c r="O119"/>
  <c r="P119"/>
  <c r="Q119"/>
  <c r="R119"/>
  <c r="S119"/>
  <c r="T119"/>
  <c r="U119"/>
  <c r="V119"/>
  <c r="W119"/>
  <c r="X119"/>
  <c r="Y119"/>
  <c r="O122"/>
  <c r="S122"/>
  <c r="U122"/>
  <c r="W122"/>
  <c r="K123"/>
  <c r="O123"/>
  <c r="S123"/>
  <c r="W123"/>
  <c r="I124"/>
  <c r="O124"/>
  <c r="S124"/>
  <c r="W124"/>
  <c r="I125"/>
  <c r="O125"/>
  <c r="S125"/>
  <c r="D126"/>
  <c r="G126"/>
  <c r="H126"/>
  <c r="I126"/>
  <c r="J126"/>
  <c r="K126"/>
  <c r="L126"/>
  <c r="N126"/>
  <c r="O126"/>
  <c r="P126"/>
  <c r="Q126"/>
  <c r="R126"/>
  <c r="S126"/>
  <c r="T126"/>
  <c r="U126"/>
  <c r="W126"/>
  <c r="X126"/>
  <c r="Y126"/>
  <c r="G80"/>
  <c r="F127"/>
  <c r="G127"/>
  <c r="H127"/>
  <c r="I127"/>
  <c r="J127"/>
  <c r="K127"/>
  <c r="L127"/>
  <c r="N127"/>
  <c r="O127"/>
  <c r="P127"/>
  <c r="Q127"/>
  <c r="R127"/>
  <c r="S127"/>
  <c r="T127"/>
  <c r="U127"/>
  <c r="W127"/>
  <c r="X127"/>
  <c r="Y127"/>
  <c r="D128"/>
  <c r="F129"/>
  <c r="G129"/>
  <c r="H129"/>
  <c r="I129"/>
  <c r="J129"/>
  <c r="K129"/>
  <c r="L129"/>
  <c r="N129"/>
  <c r="O129"/>
  <c r="P129"/>
  <c r="Q129"/>
  <c r="R129"/>
  <c r="S129"/>
  <c r="T129"/>
  <c r="U129"/>
  <c r="V129"/>
  <c r="W129"/>
  <c r="X129"/>
  <c r="Y129"/>
  <c r="C145"/>
  <c r="D145"/>
  <c r="E145"/>
  <c r="B146"/>
  <c r="B147"/>
  <c r="B148"/>
  <c r="C148"/>
  <c r="D148"/>
  <c r="C149"/>
  <c r="D149"/>
  <c r="B153"/>
  <c r="C153"/>
  <c r="D153"/>
  <c r="B154"/>
  <c r="C154"/>
  <c r="D154"/>
  <c r="B155"/>
  <c r="C155"/>
  <c r="D155"/>
  <c r="C157"/>
  <c r="D157"/>
  <c r="E157"/>
  <c r="B158"/>
  <c r="B159"/>
  <c r="B160"/>
  <c r="C160"/>
  <c r="D160"/>
  <c r="C161"/>
  <c r="D161"/>
  <c r="B165"/>
  <c r="C165"/>
  <c r="D165"/>
  <c r="B166"/>
  <c r="C166"/>
  <c r="D166"/>
  <c r="B167"/>
  <c r="C167"/>
  <c r="D167"/>
  <c r="C169"/>
  <c r="D169"/>
  <c r="E169"/>
  <c r="B170"/>
  <c r="B171"/>
  <c r="B172"/>
  <c r="C172"/>
  <c r="D172"/>
  <c r="C173"/>
  <c r="D173"/>
  <c r="B177"/>
  <c r="C177"/>
  <c r="D177"/>
  <c r="B178"/>
  <c r="C178"/>
  <c r="D178"/>
  <c r="B179"/>
  <c r="C179"/>
  <c r="D179"/>
  <c r="C181"/>
  <c r="D181"/>
  <c r="E181"/>
  <c r="B182"/>
  <c r="B183"/>
  <c r="B184"/>
  <c r="C184"/>
  <c r="D184"/>
  <c r="C185"/>
  <c r="D185"/>
  <c r="B189"/>
  <c r="C189"/>
  <c r="D189"/>
  <c r="B190"/>
  <c r="C190"/>
  <c r="D190"/>
  <c r="B191"/>
  <c r="C191"/>
  <c r="D191"/>
  <c r="C221"/>
  <c r="D221"/>
  <c r="E221"/>
  <c r="C222"/>
  <c r="D222"/>
  <c r="E222"/>
  <c r="D226"/>
  <c r="C227"/>
  <c r="D227"/>
  <c r="E227"/>
  <c r="D228"/>
  <c r="C229"/>
  <c r="D229"/>
  <c r="E229"/>
  <c r="D230"/>
  <c r="C235"/>
  <c r="D235"/>
  <c r="E235"/>
  <c r="B236"/>
  <c r="B237"/>
  <c r="B238"/>
  <c r="B239"/>
  <c r="B240"/>
  <c r="C241"/>
  <c r="D241"/>
  <c r="E241"/>
  <c r="C242"/>
  <c r="D242"/>
  <c r="E242"/>
  <c r="C243"/>
  <c r="E246" s="1"/>
  <c r="C245"/>
  <c r="D245"/>
  <c r="E245"/>
  <c r="B246"/>
  <c r="B247"/>
  <c r="B248"/>
  <c r="B249"/>
  <c r="B250"/>
  <c r="G2" i="6"/>
  <c r="D5" i="12"/>
  <c r="K137"/>
  <c r="K138"/>
  <c r="K139"/>
  <c r="K136"/>
  <c r="J137"/>
  <c r="J138"/>
  <c r="J139"/>
  <c r="J136"/>
  <c r="I137"/>
  <c r="I138"/>
  <c r="I139"/>
  <c r="I136"/>
  <c r="E137"/>
  <c r="E138"/>
  <c r="E139"/>
  <c r="E136"/>
  <c r="D137"/>
  <c r="D138"/>
  <c r="D139"/>
  <c r="D136"/>
  <c r="C137"/>
  <c r="C138"/>
  <c r="C139"/>
  <c r="C136"/>
  <c r="K123"/>
  <c r="K124"/>
  <c r="K125"/>
  <c r="K122"/>
  <c r="J123"/>
  <c r="J124"/>
  <c r="J125"/>
  <c r="J122"/>
  <c r="I123"/>
  <c r="I124"/>
  <c r="I125"/>
  <c r="I122"/>
  <c r="E123"/>
  <c r="E124"/>
  <c r="E125"/>
  <c r="E122"/>
  <c r="D123"/>
  <c r="D124"/>
  <c r="D125"/>
  <c r="D122"/>
  <c r="C123"/>
  <c r="C124"/>
  <c r="C125"/>
  <c r="C122"/>
  <c r="K109"/>
  <c r="K110"/>
  <c r="K111"/>
  <c r="K108"/>
  <c r="J109"/>
  <c r="J110"/>
  <c r="J111"/>
  <c r="J108"/>
  <c r="I109"/>
  <c r="I110"/>
  <c r="I111"/>
  <c r="I108"/>
  <c r="E109"/>
  <c r="E110"/>
  <c r="E111"/>
  <c r="E108"/>
  <c r="D109"/>
  <c r="D110"/>
  <c r="D111"/>
  <c r="D108"/>
  <c r="C109"/>
  <c r="C110"/>
  <c r="C111"/>
  <c r="C108"/>
  <c r="K95"/>
  <c r="K96"/>
  <c r="K97"/>
  <c r="K94"/>
  <c r="J95"/>
  <c r="J96"/>
  <c r="J97"/>
  <c r="J94"/>
  <c r="I95"/>
  <c r="I96"/>
  <c r="I97"/>
  <c r="I94"/>
  <c r="E95"/>
  <c r="E96"/>
  <c r="E97"/>
  <c r="E94"/>
  <c r="D95"/>
  <c r="D96"/>
  <c r="D97"/>
  <c r="D94"/>
  <c r="C95"/>
  <c r="C96"/>
  <c r="C97"/>
  <c r="C94"/>
  <c r="K81"/>
  <c r="K82"/>
  <c r="K83"/>
  <c r="K80"/>
  <c r="J81"/>
  <c r="J82"/>
  <c r="J83"/>
  <c r="J80"/>
  <c r="I81"/>
  <c r="I82"/>
  <c r="I83"/>
  <c r="I80"/>
  <c r="E81"/>
  <c r="E82"/>
  <c r="E83"/>
  <c r="E80"/>
  <c r="D81"/>
  <c r="D82"/>
  <c r="D83"/>
  <c r="D80"/>
  <c r="C81"/>
  <c r="C82"/>
  <c r="C83"/>
  <c r="C80"/>
  <c r="K67"/>
  <c r="K68"/>
  <c r="K69"/>
  <c r="J67"/>
  <c r="J68"/>
  <c r="J69"/>
  <c r="K66"/>
  <c r="J66"/>
  <c r="I67"/>
  <c r="I68"/>
  <c r="I69"/>
  <c r="I66"/>
  <c r="E67"/>
  <c r="E68"/>
  <c r="E69"/>
  <c r="E66"/>
  <c r="D67"/>
  <c r="D68"/>
  <c r="D69"/>
  <c r="D66"/>
  <c r="C67"/>
  <c r="C68"/>
  <c r="C69"/>
  <c r="C66"/>
  <c r="K53"/>
  <c r="K54"/>
  <c r="K55"/>
  <c r="K52"/>
  <c r="J53"/>
  <c r="J54"/>
  <c r="J55"/>
  <c r="J52"/>
  <c r="I53"/>
  <c r="I54"/>
  <c r="I55"/>
  <c r="I52"/>
  <c r="E53"/>
  <c r="E54"/>
  <c r="E55"/>
  <c r="E52"/>
  <c r="D53"/>
  <c r="D54"/>
  <c r="D55"/>
  <c r="D52"/>
  <c r="C53"/>
  <c r="C54"/>
  <c r="C55"/>
  <c r="C52"/>
  <c r="K39"/>
  <c r="K40"/>
  <c r="K41"/>
  <c r="K38"/>
  <c r="J39"/>
  <c r="J40"/>
  <c r="J41"/>
  <c r="J38"/>
  <c r="I39"/>
  <c r="I40"/>
  <c r="I41"/>
  <c r="I38"/>
  <c r="E39"/>
  <c r="E40"/>
  <c r="E41"/>
  <c r="E38"/>
  <c r="D39"/>
  <c r="D40"/>
  <c r="D41"/>
  <c r="D38"/>
  <c r="C39"/>
  <c r="C40"/>
  <c r="C41"/>
  <c r="C38"/>
  <c r="K25"/>
  <c r="K26"/>
  <c r="K27"/>
  <c r="K24"/>
  <c r="J25"/>
  <c r="J26"/>
  <c r="J27"/>
  <c r="I25"/>
  <c r="I26"/>
  <c r="I27"/>
  <c r="I24"/>
  <c r="J24"/>
  <c r="E25"/>
  <c r="E26"/>
  <c r="E27"/>
  <c r="E24"/>
  <c r="D25"/>
  <c r="D26"/>
  <c r="D27"/>
  <c r="D24"/>
  <c r="C25"/>
  <c r="C26"/>
  <c r="C27"/>
  <c r="C24"/>
  <c r="I11"/>
  <c r="I12"/>
  <c r="I13"/>
  <c r="J11"/>
  <c r="J12"/>
  <c r="J13"/>
  <c r="K11"/>
  <c r="K12"/>
  <c r="K13"/>
  <c r="K10"/>
  <c r="J10"/>
  <c r="I10"/>
  <c r="E13"/>
  <c r="E12"/>
  <c r="E11"/>
  <c r="D13"/>
  <c r="D12"/>
  <c r="D11"/>
  <c r="D10"/>
  <c r="C13"/>
  <c r="C12"/>
  <c r="C11"/>
  <c r="C10"/>
  <c r="E10"/>
  <c r="D2"/>
  <c r="C128"/>
  <c r="D1"/>
  <c r="K132"/>
  <c r="J132"/>
  <c r="I132"/>
  <c r="K131"/>
  <c r="J131"/>
  <c r="I131"/>
  <c r="K130"/>
  <c r="J130"/>
  <c r="I130"/>
  <c r="K128"/>
  <c r="J128"/>
  <c r="I128"/>
  <c r="K127"/>
  <c r="J127"/>
  <c r="I127"/>
  <c r="E132"/>
  <c r="D132"/>
  <c r="C132"/>
  <c r="E131"/>
  <c r="D131"/>
  <c r="C131"/>
  <c r="E130"/>
  <c r="D130"/>
  <c r="C130"/>
  <c r="E128"/>
  <c r="D128"/>
  <c r="E127"/>
  <c r="D127"/>
  <c r="C127"/>
  <c r="K118"/>
  <c r="J118"/>
  <c r="I118"/>
  <c r="K117"/>
  <c r="J117"/>
  <c r="I117"/>
  <c r="K116"/>
  <c r="J116"/>
  <c r="I116"/>
  <c r="K114"/>
  <c r="J114"/>
  <c r="I114"/>
  <c r="K113"/>
  <c r="J113"/>
  <c r="I113"/>
  <c r="E118"/>
  <c r="D118"/>
  <c r="C118"/>
  <c r="E117"/>
  <c r="D117"/>
  <c r="C117"/>
  <c r="E116"/>
  <c r="D116"/>
  <c r="C116"/>
  <c r="E114"/>
  <c r="D114"/>
  <c r="C114"/>
  <c r="E113"/>
  <c r="D113"/>
  <c r="C113"/>
  <c r="K104"/>
  <c r="J104"/>
  <c r="I104"/>
  <c r="K103"/>
  <c r="J103"/>
  <c r="I103"/>
  <c r="K102"/>
  <c r="J102"/>
  <c r="I102"/>
  <c r="K100"/>
  <c r="J100"/>
  <c r="I100"/>
  <c r="K99"/>
  <c r="J99"/>
  <c r="I99"/>
  <c r="E104"/>
  <c r="D104"/>
  <c r="C104"/>
  <c r="E103"/>
  <c r="D103"/>
  <c r="C103"/>
  <c r="E102"/>
  <c r="D102"/>
  <c r="C102"/>
  <c r="E100"/>
  <c r="D100"/>
  <c r="C100"/>
  <c r="E99"/>
  <c r="D99"/>
  <c r="C99"/>
  <c r="K90"/>
  <c r="J90"/>
  <c r="I90"/>
  <c r="K89"/>
  <c r="J89"/>
  <c r="I89"/>
  <c r="K88"/>
  <c r="J88"/>
  <c r="I88"/>
  <c r="K86"/>
  <c r="J86"/>
  <c r="I86"/>
  <c r="K85"/>
  <c r="J85"/>
  <c r="I85"/>
  <c r="E90"/>
  <c r="D90"/>
  <c r="C90"/>
  <c r="E89"/>
  <c r="D89"/>
  <c r="C89"/>
  <c r="E88"/>
  <c r="D88"/>
  <c r="C88"/>
  <c r="E86"/>
  <c r="D86"/>
  <c r="C86"/>
  <c r="E85"/>
  <c r="D85"/>
  <c r="C85"/>
  <c r="K76"/>
  <c r="J76"/>
  <c r="I76"/>
  <c r="K75"/>
  <c r="J75"/>
  <c r="I75"/>
  <c r="K74"/>
  <c r="J74"/>
  <c r="I74"/>
  <c r="K72"/>
  <c r="J72"/>
  <c r="I72"/>
  <c r="K71"/>
  <c r="J71"/>
  <c r="I71"/>
  <c r="E76"/>
  <c r="D76"/>
  <c r="C76"/>
  <c r="E75"/>
  <c r="D75"/>
  <c r="C75"/>
  <c r="E74"/>
  <c r="D74"/>
  <c r="C74"/>
  <c r="E72"/>
  <c r="D72"/>
  <c r="C72"/>
  <c r="E71"/>
  <c r="D71"/>
  <c r="C71"/>
  <c r="K62"/>
  <c r="K61"/>
  <c r="K60"/>
  <c r="K58"/>
  <c r="K57"/>
  <c r="J62"/>
  <c r="J61"/>
  <c r="J60"/>
  <c r="J58"/>
  <c r="J57"/>
  <c r="I62"/>
  <c r="I61"/>
  <c r="I60"/>
  <c r="I58"/>
  <c r="I57"/>
  <c r="E62"/>
  <c r="D62"/>
  <c r="C62"/>
  <c r="E61"/>
  <c r="D61"/>
  <c r="C61"/>
  <c r="E60"/>
  <c r="D60"/>
  <c r="C60"/>
  <c r="E58"/>
  <c r="D58"/>
  <c r="C58"/>
  <c r="E57"/>
  <c r="D57"/>
  <c r="C57"/>
  <c r="K48"/>
  <c r="J48"/>
  <c r="I48"/>
  <c r="K47"/>
  <c r="J47"/>
  <c r="I47"/>
  <c r="K46"/>
  <c r="J46"/>
  <c r="I46"/>
  <c r="K44"/>
  <c r="J44"/>
  <c r="I44"/>
  <c r="K43"/>
  <c r="J43"/>
  <c r="I43"/>
  <c r="E48"/>
  <c r="D48"/>
  <c r="C48"/>
  <c r="E47"/>
  <c r="D47"/>
  <c r="C47"/>
  <c r="E46"/>
  <c r="D46"/>
  <c r="C46"/>
  <c r="E44"/>
  <c r="D44"/>
  <c r="C44"/>
  <c r="E43"/>
  <c r="D43"/>
  <c r="C43"/>
  <c r="K34"/>
  <c r="J34"/>
  <c r="I34"/>
  <c r="K33"/>
  <c r="J33"/>
  <c r="I33"/>
  <c r="K32"/>
  <c r="J32"/>
  <c r="I32"/>
  <c r="K30"/>
  <c r="J30"/>
  <c r="I30"/>
  <c r="K29"/>
  <c r="J29"/>
  <c r="I29"/>
  <c r="E34"/>
  <c r="D34"/>
  <c r="C34"/>
  <c r="E33"/>
  <c r="D33"/>
  <c r="C33"/>
  <c r="E32"/>
  <c r="D32"/>
  <c r="C32"/>
  <c r="E30"/>
  <c r="D30"/>
  <c r="C30"/>
  <c r="E29"/>
  <c r="D29"/>
  <c r="C29"/>
  <c r="K20"/>
  <c r="J20"/>
  <c r="I20"/>
  <c r="K19"/>
  <c r="J19"/>
  <c r="I19"/>
  <c r="K18"/>
  <c r="J18"/>
  <c r="I18"/>
  <c r="K16"/>
  <c r="J16"/>
  <c r="I16"/>
  <c r="K15"/>
  <c r="J15"/>
  <c r="I15"/>
  <c r="E20"/>
  <c r="D20"/>
  <c r="C20"/>
  <c r="E19"/>
  <c r="D19"/>
  <c r="C19"/>
  <c r="E18"/>
  <c r="D18"/>
  <c r="C18"/>
  <c r="E16"/>
  <c r="D16"/>
  <c r="C16"/>
  <c r="E15"/>
  <c r="D15"/>
  <c r="C15"/>
  <c r="K6"/>
  <c r="K5"/>
  <c r="K4"/>
  <c r="J6"/>
  <c r="J5"/>
  <c r="J4"/>
  <c r="I6"/>
  <c r="I5"/>
  <c r="I4"/>
  <c r="K2"/>
  <c r="J2"/>
  <c r="I2"/>
  <c r="K1"/>
  <c r="J1"/>
  <c r="I1"/>
  <c r="E6"/>
  <c r="E5"/>
  <c r="E4"/>
  <c r="D6"/>
  <c r="D4"/>
  <c r="C6"/>
  <c r="C5"/>
  <c r="C4"/>
  <c r="E2"/>
  <c r="C2"/>
  <c r="E1"/>
  <c r="C1"/>
  <c r="G127"/>
  <c r="A127"/>
  <c r="G113"/>
  <c r="A113"/>
  <c r="G99"/>
  <c r="A99"/>
  <c r="G85"/>
  <c r="A85"/>
  <c r="G71"/>
  <c r="A71"/>
  <c r="G57"/>
  <c r="A57"/>
  <c r="G43"/>
  <c r="A43"/>
  <c r="M2" i="32"/>
  <c r="L2"/>
  <c r="H134" i="12" s="1"/>
  <c r="M2" i="31"/>
  <c r="L2"/>
  <c r="B134" i="12" s="1"/>
  <c r="M2" i="30"/>
  <c r="L2"/>
  <c r="H120" i="12" s="1"/>
  <c r="M2" i="29"/>
  <c r="L2"/>
  <c r="B120" i="12" s="1"/>
  <c r="M2" i="28"/>
  <c r="L2"/>
  <c r="H106" i="12" s="1"/>
  <c r="M2" i="27"/>
  <c r="L2"/>
  <c r="B106" i="12" s="1"/>
  <c r="M2" i="26"/>
  <c r="L2"/>
  <c r="H92" i="12" s="1"/>
  <c r="M2" i="25"/>
  <c r="L2"/>
  <c r="B92" i="12" s="1"/>
  <c r="M2" i="24"/>
  <c r="L2"/>
  <c r="H78" i="12" s="1"/>
  <c r="M2" i="23"/>
  <c r="L2"/>
  <c r="B78" i="12" s="1"/>
  <c r="M2" i="22"/>
  <c r="L2"/>
  <c r="H64" i="12" s="1"/>
  <c r="M2" i="21"/>
  <c r="L2"/>
  <c r="B64" i="12" s="1"/>
  <c r="M2" i="20"/>
  <c r="L2"/>
  <c r="H50" i="12" s="1"/>
  <c r="M2" i="19"/>
  <c r="L2"/>
  <c r="B50" i="12" s="1"/>
  <c r="M2" i="18"/>
  <c r="L2"/>
  <c r="H36" i="12" s="1"/>
  <c r="M2" i="16"/>
  <c r="L2"/>
  <c r="B36" i="12" s="1"/>
  <c r="M2" i="15"/>
  <c r="L2"/>
  <c r="H22" i="12" s="1"/>
  <c r="M2" i="14"/>
  <c r="L2"/>
  <c r="B22" i="12" s="1"/>
  <c r="M2" i="13"/>
  <c r="L2"/>
  <c r="H8" i="12" s="1"/>
  <c r="L2" i="6"/>
  <c r="B8" i="12" s="1"/>
  <c r="G29"/>
  <c r="A29"/>
  <c r="G15"/>
  <c r="A15"/>
  <c r="G1"/>
  <c r="A1"/>
  <c r="K2" i="32"/>
  <c r="H133" i="12" s="1"/>
  <c r="J2" i="32"/>
  <c r="H132" i="12" s="1"/>
  <c r="G2" i="32"/>
  <c r="H135" i="12" s="1"/>
  <c r="B2" i="32"/>
  <c r="H127" i="12" s="1"/>
  <c r="B1" i="32"/>
  <c r="K2" i="31"/>
  <c r="B133" i="12" s="1"/>
  <c r="J2" i="31"/>
  <c r="B132" i="12" s="1"/>
  <c r="G2" i="31"/>
  <c r="B135" i="12" s="1"/>
  <c r="B2" i="31"/>
  <c r="B127" i="12" s="1"/>
  <c r="B1" i="31"/>
  <c r="K2" i="30"/>
  <c r="H119" i="12" s="1"/>
  <c r="J2" i="30"/>
  <c r="H118" i="12" s="1"/>
  <c r="G2" i="30"/>
  <c r="H121" i="12" s="1"/>
  <c r="B2" i="30"/>
  <c r="H113" i="12" s="1"/>
  <c r="B1" i="30"/>
  <c r="K2" i="29"/>
  <c r="B119" i="12" s="1"/>
  <c r="J2" i="29"/>
  <c r="B118" i="12" s="1"/>
  <c r="G2" i="29"/>
  <c r="B121" i="12" s="1"/>
  <c r="B2" i="29"/>
  <c r="B113" i="12" s="1"/>
  <c r="B1" i="29"/>
  <c r="K2" i="28"/>
  <c r="H105" i="12" s="1"/>
  <c r="J2" i="28"/>
  <c r="H104" i="12" s="1"/>
  <c r="G2" i="28"/>
  <c r="H107" i="12" s="1"/>
  <c r="B2" i="28"/>
  <c r="H99" i="12" s="1"/>
  <c r="B1" i="28"/>
  <c r="K2" i="27"/>
  <c r="B105" i="12" s="1"/>
  <c r="J2" i="27"/>
  <c r="B104" i="12" s="1"/>
  <c r="G2" i="27"/>
  <c r="B107" i="12" s="1"/>
  <c r="B2" i="27"/>
  <c r="B99" i="12" s="1"/>
  <c r="B1" i="27"/>
  <c r="K2" i="26"/>
  <c r="H91" i="12" s="1"/>
  <c r="J2" i="26"/>
  <c r="G2"/>
  <c r="H93" i="12" s="1"/>
  <c r="B2" i="26"/>
  <c r="H85" i="12" s="1"/>
  <c r="B1" i="26"/>
  <c r="K2" i="25"/>
  <c r="B91" i="12" s="1"/>
  <c r="J2" i="25"/>
  <c r="B90" i="12" s="1"/>
  <c r="G2" i="25"/>
  <c r="B93" i="12" s="1"/>
  <c r="B2" i="25"/>
  <c r="B85" i="12" s="1"/>
  <c r="B1" i="25"/>
  <c r="K2" i="24"/>
  <c r="H77" i="12" s="1"/>
  <c r="J2" i="24"/>
  <c r="H76" i="12" s="1"/>
  <c r="G2" i="24"/>
  <c r="H79" i="12" s="1"/>
  <c r="B2" i="24"/>
  <c r="H71" i="12" s="1"/>
  <c r="B1" i="24"/>
  <c r="K2" i="23"/>
  <c r="B77" i="12" s="1"/>
  <c r="J2" i="23"/>
  <c r="B76" i="12" s="1"/>
  <c r="G2" i="23"/>
  <c r="B79" i="12" s="1"/>
  <c r="B2" i="23"/>
  <c r="B71" i="12" s="1"/>
  <c r="B1" i="23"/>
  <c r="K2" i="22"/>
  <c r="H63" i="12" s="1"/>
  <c r="J2" i="22"/>
  <c r="H62" i="12" s="1"/>
  <c r="G2" i="22"/>
  <c r="H65" i="12" s="1"/>
  <c r="B2" i="22"/>
  <c r="H57" i="12" s="1"/>
  <c r="B1" i="22"/>
  <c r="K2" i="21"/>
  <c r="B63" i="12" s="1"/>
  <c r="J2" i="21"/>
  <c r="B62" i="12" s="1"/>
  <c r="G2" i="21"/>
  <c r="B65" i="12" s="1"/>
  <c r="B2" i="21"/>
  <c r="B57" i="12" s="1"/>
  <c r="B1" i="21"/>
  <c r="K2" i="20"/>
  <c r="H49" i="12" s="1"/>
  <c r="J2" i="20"/>
  <c r="H48" i="12" s="1"/>
  <c r="G2" i="20"/>
  <c r="H51" i="12" s="1"/>
  <c r="B2" i="20"/>
  <c r="H43" i="12" s="1"/>
  <c r="B1" i="20"/>
  <c r="K2" i="19"/>
  <c r="B49" i="12" s="1"/>
  <c r="J2" i="19"/>
  <c r="B48" i="12" s="1"/>
  <c r="G2" i="19"/>
  <c r="B51" i="12" s="1"/>
  <c r="B2" i="19"/>
  <c r="B43" i="12" s="1"/>
  <c r="B1" i="19"/>
  <c r="K2" i="18"/>
  <c r="H35" i="12" s="1"/>
  <c r="J2" i="18"/>
  <c r="H34" i="12" s="1"/>
  <c r="G2" i="18"/>
  <c r="H37" i="12" s="1"/>
  <c r="B2" i="18"/>
  <c r="H29" i="12" s="1"/>
  <c r="B1" i="18"/>
  <c r="B2" i="14"/>
  <c r="B15" i="12" s="1"/>
  <c r="B1" i="14"/>
  <c r="B2" i="15"/>
  <c r="H15" i="12" s="1"/>
  <c r="B1" i="15"/>
  <c r="B2" i="16"/>
  <c r="B29" i="12" s="1"/>
  <c r="B1" i="16"/>
  <c r="K2"/>
  <c r="B35" i="12" s="1"/>
  <c r="J2" i="16"/>
  <c r="B34" i="12" s="1"/>
  <c r="G2" i="16"/>
  <c r="B37" i="12" s="1"/>
  <c r="K2" i="15"/>
  <c r="H21" i="12" s="1"/>
  <c r="J2" i="15"/>
  <c r="H20" i="12" s="1"/>
  <c r="G2" i="15"/>
  <c r="H23" i="12" s="1"/>
  <c r="K2" i="14"/>
  <c r="B21" i="12" s="1"/>
  <c r="J2" i="14"/>
  <c r="B20" i="12" s="1"/>
  <c r="G2" i="14"/>
  <c r="B23" i="12" s="1"/>
  <c r="B2" i="13"/>
  <c r="H1" i="12" s="1"/>
  <c r="B1" i="13"/>
  <c r="K2"/>
  <c r="H7" i="12" s="1"/>
  <c r="J2" i="13"/>
  <c r="H6" i="12" s="1"/>
  <c r="G2" i="13"/>
  <c r="H9" i="12" s="1"/>
  <c r="B1" i="6"/>
  <c r="B9" i="12"/>
  <c r="J49" i="6"/>
  <c r="I49"/>
  <c r="H49"/>
  <c r="J48"/>
  <c r="I48"/>
  <c r="H48"/>
  <c r="J47"/>
  <c r="I47"/>
  <c r="H47"/>
  <c r="J46"/>
  <c r="I46"/>
  <c r="H46"/>
  <c r="J34"/>
  <c r="I34"/>
  <c r="H34"/>
  <c r="J33"/>
  <c r="I33"/>
  <c r="H33"/>
  <c r="J32"/>
  <c r="I32"/>
  <c r="H32"/>
  <c r="J31"/>
  <c r="I31"/>
  <c r="H31"/>
  <c r="J17"/>
  <c r="J18"/>
  <c r="J19"/>
  <c r="J16"/>
  <c r="H17"/>
  <c r="H18"/>
  <c r="H19"/>
  <c r="H16"/>
  <c r="C45"/>
  <c r="B2"/>
  <c r="B1" i="12" s="1"/>
  <c r="L50" i="6"/>
  <c r="K50"/>
  <c r="J50"/>
  <c r="G50"/>
  <c r="L35"/>
  <c r="K35"/>
  <c r="J35"/>
  <c r="G35"/>
  <c r="C30"/>
  <c r="G20"/>
  <c r="C15"/>
  <c r="M2"/>
  <c r="K2"/>
  <c r="B7" i="12" s="1"/>
  <c r="J2" i="6"/>
  <c r="H90" i="12" s="1"/>
  <c r="M114" i="34"/>
  <c r="D246"/>
  <c r="O114"/>
  <c r="K114"/>
  <c r="Y61"/>
  <c r="Y39" s="1"/>
  <c r="U61"/>
  <c r="U39" s="1"/>
  <c r="Q61"/>
  <c r="Q39" s="1"/>
  <c r="M61"/>
  <c r="M39" s="1"/>
  <c r="I61"/>
  <c r="I39" s="1"/>
  <c r="R95"/>
  <c r="V61"/>
  <c r="V39" s="1"/>
  <c r="D250"/>
  <c r="D248"/>
  <c r="S128"/>
  <c r="Y102"/>
  <c r="Q102"/>
  <c r="I102"/>
  <c r="Y95"/>
  <c r="W95"/>
  <c r="U95"/>
  <c r="S95"/>
  <c r="Q95"/>
  <c r="O95"/>
  <c r="K95"/>
  <c r="G95"/>
  <c r="W86"/>
  <c r="U86"/>
  <c r="Q86"/>
  <c r="I86"/>
  <c r="G86"/>
  <c r="U128"/>
  <c r="X114"/>
  <c r="X37" s="1"/>
  <c r="X48" s="1"/>
  <c r="T114"/>
  <c r="T37"/>
  <c r="P114"/>
  <c r="P37"/>
  <c r="L114"/>
  <c r="L37" s="1"/>
  <c r="F114"/>
  <c r="X102"/>
  <c r="X118" s="1"/>
  <c r="T102"/>
  <c r="T118" s="1"/>
  <c r="P102"/>
  <c r="P118" s="1"/>
  <c r="J102"/>
  <c r="J118" s="1"/>
  <c r="R128"/>
  <c r="N128"/>
  <c r="J128"/>
  <c r="F128"/>
  <c r="C247"/>
  <c r="E248"/>
  <c r="E226"/>
  <c r="E228"/>
  <c r="E230"/>
  <c r="C226"/>
  <c r="C228"/>
  <c r="P33" s="1"/>
  <c r="P69" s="1"/>
  <c r="C230"/>
  <c r="Y103"/>
  <c r="W103"/>
  <c r="U103"/>
  <c r="S103"/>
  <c r="Q103"/>
  <c r="Q37" s="1"/>
  <c r="Q48" s="1"/>
  <c r="O103"/>
  <c r="M103"/>
  <c r="K103"/>
  <c r="I103"/>
  <c r="G103"/>
  <c r="Y91"/>
  <c r="W91"/>
  <c r="U91"/>
  <c r="S91"/>
  <c r="Q91"/>
  <c r="O91"/>
  <c r="M91"/>
  <c r="K91"/>
  <c r="I91"/>
  <c r="G91"/>
  <c r="S2"/>
  <c r="F91"/>
  <c r="I2" i="28"/>
  <c r="H103" i="12" s="1"/>
  <c r="F102" i="34"/>
  <c r="V127"/>
  <c r="V95"/>
  <c r="F95"/>
  <c r="V86"/>
  <c r="L86"/>
  <c r="J86"/>
  <c r="U123"/>
  <c r="K125"/>
  <c r="K77"/>
  <c r="O33"/>
  <c r="O69" s="1"/>
  <c r="O100" s="1"/>
  <c r="K33"/>
  <c r="K69" s="1"/>
  <c r="E250"/>
  <c r="E249"/>
  <c r="E247"/>
  <c r="J114"/>
  <c r="N114"/>
  <c r="R114"/>
  <c r="G114"/>
  <c r="U114"/>
  <c r="W61"/>
  <c r="W39" s="1"/>
  <c r="S61"/>
  <c r="S39" s="1"/>
  <c r="O61"/>
  <c r="O39" s="1"/>
  <c r="K61"/>
  <c r="K39" s="1"/>
  <c r="G61"/>
  <c r="G39" s="1"/>
  <c r="M37"/>
  <c r="M48" s="1"/>
  <c r="I37"/>
  <c r="I48" s="1"/>
  <c r="H102"/>
  <c r="H118" s="1"/>
  <c r="L102"/>
  <c r="L118" s="1"/>
  <c r="R102"/>
  <c r="R118" s="1"/>
  <c r="V102"/>
  <c r="V118" s="1"/>
  <c r="N102"/>
  <c r="N118" s="1"/>
  <c r="W128"/>
  <c r="F42"/>
  <c r="I2" i="6"/>
  <c r="B5" i="12" s="1"/>
  <c r="M4" i="4"/>
  <c r="I2" i="27"/>
  <c r="B103" i="12" s="1"/>
  <c r="M18" i="4"/>
  <c r="M12"/>
  <c r="I2" i="21"/>
  <c r="B61" i="12" s="1"/>
  <c r="M20" i="4"/>
  <c r="I2" i="29"/>
  <c r="B117" i="12" s="1"/>
  <c r="I2" i="13"/>
  <c r="H5" i="12" s="1"/>
  <c r="M5" i="4"/>
  <c r="U37" i="34"/>
  <c r="G37"/>
  <c r="R37"/>
  <c r="J37"/>
  <c r="U125"/>
  <c r="U105"/>
  <c r="U106" s="1"/>
  <c r="U78" s="1"/>
  <c r="K122"/>
  <c r="K105"/>
  <c r="X125"/>
  <c r="X124"/>
  <c r="V124"/>
  <c r="V125"/>
  <c r="T124"/>
  <c r="T125"/>
  <c r="R125"/>
  <c r="R124"/>
  <c r="P124"/>
  <c r="P125"/>
  <c r="N124"/>
  <c r="N125"/>
  <c r="L125"/>
  <c r="L124"/>
  <c r="J124"/>
  <c r="J125"/>
  <c r="H124"/>
  <c r="H125"/>
  <c r="J13"/>
  <c r="J96" s="1"/>
  <c r="H13"/>
  <c r="H96" s="1"/>
  <c r="L13"/>
  <c r="N13"/>
  <c r="P13"/>
  <c r="P96" s="1"/>
  <c r="R13"/>
  <c r="T13"/>
  <c r="V13"/>
  <c r="X13"/>
  <c r="F18"/>
  <c r="M86"/>
  <c r="M95"/>
  <c r="I95"/>
  <c r="X86"/>
  <c r="K42"/>
  <c r="R86"/>
  <c r="O86"/>
  <c r="O45" s="1"/>
  <c r="K86"/>
  <c r="L42"/>
  <c r="I13" i="39"/>
  <c r="K13"/>
  <c r="M13" s="1"/>
  <c r="O13" s="1"/>
  <c r="R48" i="6"/>
  <c r="I50"/>
  <c r="R33" i="16"/>
  <c r="I35"/>
  <c r="R33" i="19"/>
  <c r="I35"/>
  <c r="R33" i="21"/>
  <c r="I35" s="1"/>
  <c r="R33" i="23"/>
  <c r="I35" s="1"/>
  <c r="R33" i="25"/>
  <c r="I35" s="1"/>
  <c r="R33" i="27"/>
  <c r="I35" s="1"/>
  <c r="R33" i="29"/>
  <c r="I35" s="1"/>
  <c r="R33" i="31"/>
  <c r="I35" s="1"/>
  <c r="R33" i="13"/>
  <c r="I35" s="1"/>
  <c r="Q33"/>
  <c r="H35" s="1"/>
  <c r="R48"/>
  <c r="I50" s="1"/>
  <c r="R33" i="15"/>
  <c r="I35" s="1"/>
  <c r="Q33"/>
  <c r="H35" s="1"/>
  <c r="R48"/>
  <c r="I50" s="1"/>
  <c r="R33" i="18"/>
  <c r="I35" s="1"/>
  <c r="Q33"/>
  <c r="H35" s="1"/>
  <c r="R48"/>
  <c r="I50" s="1"/>
  <c r="R33" i="20"/>
  <c r="I35" s="1"/>
  <c r="Q33"/>
  <c r="H35" s="1"/>
  <c r="R48"/>
  <c r="I50" s="1"/>
  <c r="R33" i="22"/>
  <c r="I35" s="1"/>
  <c r="Q33"/>
  <c r="H35" s="1"/>
  <c r="R48"/>
  <c r="I50" s="1"/>
  <c r="R33" i="24"/>
  <c r="I35" s="1"/>
  <c r="Q33"/>
  <c r="H35" s="1"/>
  <c r="R48"/>
  <c r="I50" s="1"/>
  <c r="R33" i="26"/>
  <c r="I35" s="1"/>
  <c r="Q33"/>
  <c r="H35" s="1"/>
  <c r="R48"/>
  <c r="I50" s="1"/>
  <c r="R33" i="28"/>
  <c r="I35" s="1"/>
  <c r="Q33"/>
  <c r="H35" s="1"/>
  <c r="R48"/>
  <c r="I50" s="1"/>
  <c r="R33" i="30"/>
  <c r="I35" s="1"/>
  <c r="Q33"/>
  <c r="H35" s="1"/>
  <c r="R48"/>
  <c r="I50" s="1"/>
  <c r="R33" i="32"/>
  <c r="I35" s="1"/>
  <c r="Q33"/>
  <c r="H35" s="1"/>
  <c r="R48"/>
  <c r="I50" s="1"/>
  <c r="R33" i="14"/>
  <c r="I35" s="1"/>
  <c r="Q33"/>
  <c r="H35" s="1"/>
  <c r="R48"/>
  <c r="I50" s="1"/>
  <c r="Q33" i="16"/>
  <c r="H35" s="1"/>
  <c r="R48"/>
  <c r="I50" s="1"/>
  <c r="Q33" i="19"/>
  <c r="H35" s="1"/>
  <c r="R48"/>
  <c r="I50" s="1"/>
  <c r="Q33" i="21"/>
  <c r="H35" s="1"/>
  <c r="R48"/>
  <c r="I50" s="1"/>
  <c r="Q33" i="23"/>
  <c r="H35" s="1"/>
  <c r="R48"/>
  <c r="I50" s="1"/>
  <c r="Q33" i="25"/>
  <c r="H35" s="1"/>
  <c r="R48"/>
  <c r="I50" s="1"/>
  <c r="Q33" i="27"/>
  <c r="H35" s="1"/>
  <c r="R48"/>
  <c r="I50" s="1"/>
  <c r="Q33" i="29"/>
  <c r="H35" s="1"/>
  <c r="R48"/>
  <c r="I50" s="1"/>
  <c r="Q33" i="31"/>
  <c r="H35" s="1"/>
  <c r="R48"/>
  <c r="I50" s="1"/>
  <c r="Y124" i="34"/>
  <c r="Y125"/>
  <c r="Y13"/>
  <c r="Y105" s="1"/>
  <c r="Q48" i="32"/>
  <c r="H50" s="1"/>
  <c r="Q48" i="31"/>
  <c r="H50" s="1"/>
  <c r="Q48" i="30"/>
  <c r="H50" s="1"/>
  <c r="Q48" i="29"/>
  <c r="H50" s="1"/>
  <c r="Q48" i="28"/>
  <c r="H50" s="1"/>
  <c r="Q48" i="27"/>
  <c r="H50" s="1"/>
  <c r="Q48" i="26"/>
  <c r="H50" s="1"/>
  <c r="Q48" i="25"/>
  <c r="H50" s="1"/>
  <c r="Q48" i="24"/>
  <c r="H50" s="1"/>
  <c r="Q48" i="23"/>
  <c r="H50" s="1"/>
  <c r="Q48" i="22"/>
  <c r="H50" s="1"/>
  <c r="Q48" i="21"/>
  <c r="H50" s="1"/>
  <c r="Q48" i="20"/>
  <c r="H50" s="1"/>
  <c r="Q48" i="19"/>
  <c r="H50" s="1"/>
  <c r="Q48" i="18"/>
  <c r="H50" s="1"/>
  <c r="Q48" i="16"/>
  <c r="H50" s="1"/>
  <c r="Q48" i="15"/>
  <c r="H50" s="1"/>
  <c r="Q48" i="14"/>
  <c r="H50" s="1"/>
  <c r="Q48" i="13"/>
  <c r="H50" s="1"/>
  <c r="Q33" i="6"/>
  <c r="H35" s="1"/>
  <c r="W45" i="34"/>
  <c r="W87"/>
  <c r="U87"/>
  <c r="U96"/>
  <c r="T96"/>
  <c r="Q125"/>
  <c r="Q124"/>
  <c r="G124"/>
  <c r="G125"/>
  <c r="G13"/>
  <c r="Q48" i="6"/>
  <c r="H50" s="1"/>
  <c r="R33"/>
  <c r="I35" s="1"/>
  <c r="F37" i="34"/>
  <c r="F48" s="1"/>
  <c r="F118"/>
  <c r="P48"/>
  <c r="U2"/>
  <c r="U45"/>
  <c r="N37"/>
  <c r="L116"/>
  <c r="K128"/>
  <c r="K2" s="1"/>
  <c r="I128"/>
  <c r="P100"/>
  <c r="L36"/>
  <c r="F33"/>
  <c r="F69" s="1"/>
  <c r="J33"/>
  <c r="J69" s="1"/>
  <c r="N33"/>
  <c r="N69" s="1"/>
  <c r="R33"/>
  <c r="R69" s="1"/>
  <c r="V33"/>
  <c r="V69" s="1"/>
  <c r="I33"/>
  <c r="I69" s="1"/>
  <c r="M33"/>
  <c r="M69" s="1"/>
  <c r="Q33"/>
  <c r="Q69" s="1"/>
  <c r="U33"/>
  <c r="U69" s="1"/>
  <c r="Y33"/>
  <c r="Y69" s="1"/>
  <c r="W33"/>
  <c r="W69" s="1"/>
  <c r="S33"/>
  <c r="S69" s="1"/>
  <c r="X33"/>
  <c r="X69" s="1"/>
  <c r="T33"/>
  <c r="T69" s="1"/>
  <c r="H33"/>
  <c r="H69" s="1"/>
  <c r="G33"/>
  <c r="G69" s="1"/>
  <c r="C249"/>
  <c r="C246"/>
  <c r="C248"/>
  <c r="G34" s="1"/>
  <c r="G70" s="1"/>
  <c r="C250"/>
  <c r="K102"/>
  <c r="K118" s="1"/>
  <c r="K37"/>
  <c r="Y96"/>
  <c r="R96"/>
  <c r="R105"/>
  <c r="O96"/>
  <c r="O105"/>
  <c r="V73"/>
  <c r="V42" s="1"/>
  <c r="V114"/>
  <c r="Q118"/>
  <c r="O37"/>
  <c r="O48" s="1"/>
  <c r="O89"/>
  <c r="W116"/>
  <c r="U36"/>
  <c r="U47" s="1"/>
  <c r="Y42"/>
  <c r="I42"/>
  <c r="R42"/>
  <c r="M42"/>
  <c r="J42"/>
  <c r="G42"/>
  <c r="O113"/>
  <c r="O101"/>
  <c r="K34"/>
  <c r="K70" s="1"/>
  <c r="V34"/>
  <c r="V70" s="1"/>
  <c r="F34"/>
  <c r="F70" s="1"/>
  <c r="M34"/>
  <c r="M70" s="1"/>
  <c r="P34"/>
  <c r="P70" s="1"/>
  <c r="S34"/>
  <c r="S70" s="1"/>
  <c r="W34"/>
  <c r="W70" s="1"/>
  <c r="T34"/>
  <c r="T70" s="1"/>
  <c r="Q34"/>
  <c r="Q70" s="1"/>
  <c r="J34"/>
  <c r="J70" s="1"/>
  <c r="D249"/>
  <c r="D247"/>
  <c r="S96"/>
  <c r="S105"/>
  <c r="N96"/>
  <c r="N87"/>
  <c r="K96"/>
  <c r="K87"/>
  <c r="W73"/>
  <c r="W42" s="1"/>
  <c r="W114"/>
  <c r="S73"/>
  <c r="S42" s="1"/>
  <c r="S114"/>
  <c r="H73"/>
  <c r="H42" s="1"/>
  <c r="H114"/>
  <c r="K101"/>
  <c r="I118"/>
  <c r="Y118"/>
  <c r="W2"/>
  <c r="Y37"/>
  <c r="Y48" s="1"/>
  <c r="X95"/>
  <c r="T95"/>
  <c r="O116"/>
  <c r="Q128"/>
  <c r="O128"/>
  <c r="O2" s="1"/>
  <c r="Q42"/>
  <c r="F125"/>
  <c r="F124"/>
  <c r="V122"/>
  <c r="V123"/>
  <c r="V105"/>
  <c r="V77"/>
  <c r="V45" s="1"/>
  <c r="V87"/>
  <c r="R77"/>
  <c r="R122"/>
  <c r="R123"/>
  <c r="R87"/>
  <c r="R88" s="1"/>
  <c r="N122"/>
  <c r="N77"/>
  <c r="N123"/>
  <c r="N105"/>
  <c r="N107" s="1"/>
  <c r="J122"/>
  <c r="J123"/>
  <c r="J105"/>
  <c r="J77"/>
  <c r="J87"/>
  <c r="J116"/>
  <c r="H87"/>
  <c r="H88" s="1"/>
  <c r="V96"/>
  <c r="V98" s="1"/>
  <c r="X122"/>
  <c r="X123"/>
  <c r="X105"/>
  <c r="X77"/>
  <c r="X45" s="1"/>
  <c r="X87"/>
  <c r="X89" s="1"/>
  <c r="T77"/>
  <c r="T122"/>
  <c r="T87"/>
  <c r="T123"/>
  <c r="T105"/>
  <c r="P122"/>
  <c r="P123"/>
  <c r="P105"/>
  <c r="P77"/>
  <c r="L77"/>
  <c r="L45" s="1"/>
  <c r="L87"/>
  <c r="L123"/>
  <c r="L122"/>
  <c r="L105"/>
  <c r="H122"/>
  <c r="H105"/>
  <c r="H77"/>
  <c r="H45" s="1"/>
  <c r="H123"/>
  <c r="X88"/>
  <c r="L96"/>
  <c r="X96"/>
  <c r="X97" s="1"/>
  <c r="R45"/>
  <c r="K36"/>
  <c r="K47"/>
  <c r="K116"/>
  <c r="K45"/>
  <c r="O36"/>
  <c r="O47"/>
  <c r="O88"/>
  <c r="Y87"/>
  <c r="Y89" s="1"/>
  <c r="Y123"/>
  <c r="Y116"/>
  <c r="Y77"/>
  <c r="Y45" s="1"/>
  <c r="Y122"/>
  <c r="Y36"/>
  <c r="Y47"/>
  <c r="U88"/>
  <c r="U89"/>
  <c r="U97"/>
  <c r="U98"/>
  <c r="G77"/>
  <c r="G122"/>
  <c r="G105"/>
  <c r="G87"/>
  <c r="G123"/>
  <c r="G116"/>
  <c r="G36"/>
  <c r="G47"/>
  <c r="G96"/>
  <c r="G45"/>
  <c r="V88"/>
  <c r="N48"/>
  <c r="X36"/>
  <c r="X47" s="1"/>
  <c r="K97"/>
  <c r="K98"/>
  <c r="N98"/>
  <c r="N97"/>
  <c r="S97"/>
  <c r="S98"/>
  <c r="O97"/>
  <c r="O98"/>
  <c r="Y97"/>
  <c r="Y98"/>
  <c r="H113"/>
  <c r="H101"/>
  <c r="H100"/>
  <c r="X101"/>
  <c r="X100"/>
  <c r="X113"/>
  <c r="W100"/>
  <c r="W113"/>
  <c r="W101"/>
  <c r="U113"/>
  <c r="U101"/>
  <c r="U100"/>
  <c r="M100"/>
  <c r="M113"/>
  <c r="M101"/>
  <c r="V101"/>
  <c r="V100"/>
  <c r="V113"/>
  <c r="N113"/>
  <c r="N101"/>
  <c r="N100"/>
  <c r="F113"/>
  <c r="F100"/>
  <c r="F101"/>
  <c r="Y88"/>
  <c r="T98"/>
  <c r="T97"/>
  <c r="T45"/>
  <c r="H37"/>
  <c r="H36"/>
  <c r="H47" s="1"/>
  <c r="S37"/>
  <c r="S48" s="1"/>
  <c r="W98"/>
  <c r="W97"/>
  <c r="W88"/>
  <c r="W37"/>
  <c r="W89"/>
  <c r="W36"/>
  <c r="W47" s="1"/>
  <c r="K89"/>
  <c r="K88"/>
  <c r="S107"/>
  <c r="V36"/>
  <c r="V47" s="1"/>
  <c r="V97"/>
  <c r="V37"/>
  <c r="V48" s="1"/>
  <c r="O106"/>
  <c r="O107"/>
  <c r="R107"/>
  <c r="R106"/>
  <c r="K48"/>
  <c r="K107"/>
  <c r="K106"/>
  <c r="G101"/>
  <c r="G113"/>
  <c r="G100"/>
  <c r="T101"/>
  <c r="T100"/>
  <c r="T113"/>
  <c r="S101"/>
  <c r="S100"/>
  <c r="S113"/>
  <c r="Y100"/>
  <c r="Y101"/>
  <c r="Y113"/>
  <c r="Q100"/>
  <c r="Q113"/>
  <c r="Q101"/>
  <c r="I113"/>
  <c r="I101"/>
  <c r="I100"/>
  <c r="R100"/>
  <c r="R101"/>
  <c r="R113"/>
  <c r="J101"/>
  <c r="J100"/>
  <c r="J113"/>
  <c r="R34"/>
  <c r="R70" s="1"/>
  <c r="Y34"/>
  <c r="Y70" s="1"/>
  <c r="I34"/>
  <c r="I70" s="1"/>
  <c r="L34"/>
  <c r="L70" s="1"/>
  <c r="O34"/>
  <c r="O70" s="1"/>
  <c r="H34"/>
  <c r="H70" s="1"/>
  <c r="X34"/>
  <c r="X70" s="1"/>
  <c r="U34"/>
  <c r="U70" s="1"/>
  <c r="N34"/>
  <c r="N70" s="1"/>
  <c r="V89"/>
  <c r="X107"/>
  <c r="X106"/>
  <c r="J88"/>
  <c r="J89"/>
  <c r="J107"/>
  <c r="J106"/>
  <c r="T2"/>
  <c r="N2"/>
  <c r="L97"/>
  <c r="L98"/>
  <c r="L89"/>
  <c r="L88"/>
  <c r="P107"/>
  <c r="P106"/>
  <c r="T106"/>
  <c r="T107"/>
  <c r="L47"/>
  <c r="R2"/>
  <c r="I591"/>
  <c r="Y2"/>
  <c r="G106"/>
  <c r="G107"/>
  <c r="G97"/>
  <c r="G98"/>
  <c r="G89"/>
  <c r="G88"/>
  <c r="G2"/>
  <c r="J591"/>
  <c r="N11" i="4" s="1"/>
  <c r="E4" i="20" s="1"/>
  <c r="O111" i="34"/>
  <c r="S106"/>
  <c r="W107"/>
  <c r="W111" s="1"/>
  <c r="W48"/>
  <c r="W106"/>
  <c r="W78" s="1"/>
  <c r="K78"/>
  <c r="K64" s="1"/>
  <c r="V106"/>
  <c r="V78" s="1"/>
  <c r="H106"/>
  <c r="H48"/>
  <c r="H107"/>
  <c r="K111"/>
  <c r="O78"/>
  <c r="J587"/>
  <c r="N7" i="4" s="1"/>
  <c r="E4" i="15" s="1"/>
  <c r="F77" i="34"/>
  <c r="F45" s="1"/>
  <c r="F87"/>
  <c r="F88" s="1"/>
  <c r="F96"/>
  <c r="F97" s="1"/>
  <c r="F105"/>
  <c r="F106" s="1"/>
  <c r="F89"/>
  <c r="F107"/>
  <c r="F36"/>
  <c r="F47" s="1"/>
  <c r="J584"/>
  <c r="N4" i="4" s="1"/>
  <c r="E4" i="6" s="1"/>
  <c r="I584" i="34"/>
  <c r="J598"/>
  <c r="N18" i="4" s="1"/>
  <c r="E4" i="27" s="1"/>
  <c r="I598" i="34"/>
  <c r="J595"/>
  <c r="N15" i="4" s="1"/>
  <c r="E4" i="24" s="1"/>
  <c r="I595" i="34"/>
  <c r="I587"/>
  <c r="K110"/>
  <c r="K44" s="1"/>
  <c r="K46" s="1"/>
  <c r="K7" s="1"/>
  <c r="K120"/>
  <c r="O64"/>
  <c r="O120"/>
  <c r="O110"/>
  <c r="O44" s="1"/>
  <c r="O46" s="1"/>
  <c r="O7" s="1"/>
  <c r="O35"/>
  <c r="J600"/>
  <c r="N20" i="4" s="1"/>
  <c r="E4" i="29" s="1"/>
  <c r="J601" i="34"/>
  <c r="N21" i="4" s="1"/>
  <c r="E4" i="30" s="1"/>
  <c r="I599" i="34"/>
  <c r="J599"/>
  <c r="N19" i="4" s="1"/>
  <c r="E4" i="28" s="1"/>
  <c r="J602" i="34"/>
  <c r="N22" i="4" s="1"/>
  <c r="E4" i="31" s="1"/>
  <c r="I602" i="34"/>
  <c r="I601"/>
  <c r="I600"/>
  <c r="J596"/>
  <c r="N16" i="4" s="1"/>
  <c r="E4" i="25" s="1"/>
  <c r="I596" i="34"/>
  <c r="J593"/>
  <c r="N13" i="4" s="1"/>
  <c r="E4" i="22" s="1"/>
  <c r="I593" i="34"/>
  <c r="J592"/>
  <c r="N12" i="4" s="1"/>
  <c r="E4" i="21" s="1"/>
  <c r="I592" i="34"/>
  <c r="J588"/>
  <c r="N8" i="4" s="1"/>
  <c r="E4" i="16" s="1"/>
  <c r="I588" i="34"/>
  <c r="J590"/>
  <c r="N10" i="4" s="1"/>
  <c r="E4" i="19" s="1"/>
  <c r="I590" i="34"/>
  <c r="J594"/>
  <c r="N14" i="4" s="1"/>
  <c r="E4" i="23" s="1"/>
  <c r="I594" i="34"/>
  <c r="J585"/>
  <c r="N5" i="4" s="1"/>
  <c r="E4" i="13" s="1"/>
  <c r="I585" i="34"/>
  <c r="J586"/>
  <c r="N6" i="4" s="1"/>
  <c r="E4" i="14" s="1"/>
  <c r="I586" i="34"/>
  <c r="J603"/>
  <c r="N23" i="4" s="1"/>
  <c r="E4" i="32" s="1"/>
  <c r="I603" i="34"/>
  <c r="J597"/>
  <c r="N17" i="4" s="1"/>
  <c r="E4" i="26" s="1"/>
  <c r="I597" i="34"/>
  <c r="J589"/>
  <c r="N9" i="4" s="1"/>
  <c r="E4" i="18" s="1"/>
  <c r="I589" i="34"/>
  <c r="F122"/>
  <c r="F123"/>
  <c r="F116"/>
  <c r="U64" l="1"/>
  <c r="U120"/>
  <c r="U110"/>
  <c r="U35"/>
  <c r="G111"/>
  <c r="P87"/>
  <c r="R28" i="20"/>
  <c r="Q27" i="21"/>
  <c r="R28"/>
  <c r="R29"/>
  <c r="Q28" i="22"/>
  <c r="R28" i="24"/>
  <c r="Q27" i="25"/>
  <c r="R28"/>
  <c r="Q29"/>
  <c r="R27" i="26"/>
  <c r="Q28" i="30"/>
  <c r="R28" i="31"/>
  <c r="Q29"/>
  <c r="L48" i="34"/>
  <c r="L107"/>
  <c r="L106"/>
  <c r="L78" s="1"/>
  <c r="F2"/>
  <c r="F98"/>
  <c r="F111" s="1"/>
  <c r="L111"/>
  <c r="X2"/>
  <c r="J2"/>
  <c r="O118"/>
  <c r="R27" i="22"/>
  <c r="R27" i="30"/>
  <c r="W110" i="34"/>
  <c r="W44" s="1"/>
  <c r="W46" s="1"/>
  <c r="W7" s="1"/>
  <c r="W120"/>
  <c r="T89"/>
  <c r="T111" s="1"/>
  <c r="T36"/>
  <c r="T47" s="1"/>
  <c r="T88"/>
  <c r="T78" s="1"/>
  <c r="T120" s="1"/>
  <c r="R36"/>
  <c r="R47" s="1"/>
  <c r="R98"/>
  <c r="R97"/>
  <c r="I2" i="18"/>
  <c r="H33" i="12" s="1"/>
  <c r="M9" i="4"/>
  <c r="M14"/>
  <c r="I2" i="23"/>
  <c r="B75" i="12" s="1"/>
  <c r="M16" i="4"/>
  <c r="I2" i="25"/>
  <c r="B89" i="12" s="1"/>
  <c r="I2" i="30"/>
  <c r="H117" i="12" s="1"/>
  <c r="M21" i="4"/>
  <c r="I2" i="14"/>
  <c r="B19" i="12" s="1"/>
  <c r="M6" i="4"/>
  <c r="N116" i="34"/>
  <c r="N36"/>
  <c r="N88"/>
  <c r="N45"/>
  <c r="N89"/>
  <c r="N111" s="1"/>
  <c r="S88"/>
  <c r="S78" s="1"/>
  <c r="S89"/>
  <c r="S111" s="1"/>
  <c r="S36"/>
  <c r="S47" s="1"/>
  <c r="I2" i="16"/>
  <c r="B33" i="12" s="1"/>
  <c r="M8" i="4"/>
  <c r="M10"/>
  <c r="I2" i="19"/>
  <c r="B47" i="12" s="1"/>
  <c r="I2" i="24"/>
  <c r="H75" i="12" s="1"/>
  <c r="M15" i="4"/>
  <c r="U49" i="34"/>
  <c r="T116"/>
  <c r="U107"/>
  <c r="U111" s="1"/>
  <c r="J20" i="6"/>
  <c r="M118" i="34"/>
  <c r="G118"/>
  <c r="J95"/>
  <c r="J45" s="1"/>
  <c r="X117"/>
  <c r="V117"/>
  <c r="R117"/>
  <c r="P117"/>
  <c r="L117"/>
  <c r="J117"/>
  <c r="H117"/>
  <c r="F117"/>
  <c r="P86"/>
  <c r="L2"/>
  <c r="H128"/>
  <c r="H2" s="1"/>
  <c r="X61"/>
  <c r="X39" s="1"/>
  <c r="T61"/>
  <c r="T39" s="1"/>
  <c r="L61"/>
  <c r="L39" s="1"/>
  <c r="J61"/>
  <c r="J39" s="1"/>
  <c r="H61"/>
  <c r="H39" s="1"/>
  <c r="O42"/>
  <c r="O49" s="1"/>
  <c r="V2"/>
  <c r="M128"/>
  <c r="R29" i="13"/>
  <c r="R29" i="14"/>
  <c r="J20" i="15"/>
  <c r="R29" i="19"/>
  <c r="J20" i="20"/>
  <c r="R29" i="23"/>
  <c r="J20" i="24"/>
  <c r="R29" i="27"/>
  <c r="J20" i="28"/>
  <c r="Q28" i="31"/>
  <c r="I20" i="32"/>
  <c r="L64" i="34"/>
  <c r="K35"/>
  <c r="G78"/>
  <c r="P45"/>
  <c r="W118"/>
  <c r="U118"/>
  <c r="S118"/>
  <c r="Y117"/>
  <c r="W117"/>
  <c r="U117"/>
  <c r="S117"/>
  <c r="Q117"/>
  <c r="O117"/>
  <c r="M117"/>
  <c r="K117"/>
  <c r="I117"/>
  <c r="G117"/>
  <c r="P42"/>
  <c r="N42"/>
  <c r="J50" i="13"/>
  <c r="J50" i="15"/>
  <c r="J50" i="18"/>
  <c r="J50" i="20"/>
  <c r="J50" i="22"/>
  <c r="J50" i="24"/>
  <c r="J50" i="26"/>
  <c r="J50" i="28"/>
  <c r="J50" i="30"/>
  <c r="J50" i="32"/>
  <c r="R27" i="13"/>
  <c r="R27" i="14"/>
  <c r="J20" i="18"/>
  <c r="R27" i="19"/>
  <c r="J20" i="22"/>
  <c r="R27" i="23"/>
  <c r="J20" i="26"/>
  <c r="R27" i="27"/>
  <c r="J20" i="30"/>
  <c r="R27" i="31"/>
  <c r="I20" s="1"/>
  <c r="Q27" i="32"/>
  <c r="H20" s="1"/>
  <c r="P97" i="34"/>
  <c r="P98"/>
  <c r="G64"/>
  <c r="G120"/>
  <c r="G35"/>
  <c r="Y106"/>
  <c r="Y78" s="1"/>
  <c r="Y107"/>
  <c r="H97"/>
  <c r="H98"/>
  <c r="H78"/>
  <c r="L35"/>
  <c r="W35"/>
  <c r="W49" s="1"/>
  <c r="W8" s="1"/>
  <c r="W5" s="1"/>
  <c r="W6" s="1"/>
  <c r="W64"/>
  <c r="S35"/>
  <c r="S49" s="1"/>
  <c r="S8" s="1"/>
  <c r="V107"/>
  <c r="V111" s="1"/>
  <c r="H89"/>
  <c r="X98"/>
  <c r="X111" s="1"/>
  <c r="N106"/>
  <c r="R89"/>
  <c r="N47"/>
  <c r="T117"/>
  <c r="J36"/>
  <c r="J47" s="1"/>
  <c r="X116"/>
  <c r="V116"/>
  <c r="R116"/>
  <c r="T48"/>
  <c r="R48"/>
  <c r="J48"/>
  <c r="R29" i="6"/>
  <c r="Q27" i="15"/>
  <c r="R29"/>
  <c r="Q28" i="16"/>
  <c r="Q27" i="20"/>
  <c r="R29"/>
  <c r="Q28" i="21"/>
  <c r="H20" s="1"/>
  <c r="Q27" i="24"/>
  <c r="R29"/>
  <c r="Q28" i="25"/>
  <c r="Q27" i="28"/>
  <c r="R29"/>
  <c r="Q28" i="29"/>
  <c r="H20" s="1"/>
  <c r="K49" i="34"/>
  <c r="K8" s="1"/>
  <c r="F78"/>
  <c r="U44"/>
  <c r="U46" s="1"/>
  <c r="U7" s="1"/>
  <c r="Y111"/>
  <c r="X78"/>
  <c r="P2"/>
  <c r="R78"/>
  <c r="O8"/>
  <c r="O5" s="1"/>
  <c r="O6" s="1"/>
  <c r="G49"/>
  <c r="B6" i="12"/>
  <c r="S45" i="34"/>
  <c r="U116"/>
  <c r="U48"/>
  <c r="U8" s="1"/>
  <c r="G48"/>
  <c r="Q29" i="6"/>
  <c r="R28"/>
  <c r="R27"/>
  <c r="Q27" i="13"/>
  <c r="R28"/>
  <c r="Q29"/>
  <c r="Q28"/>
  <c r="Q27" i="14"/>
  <c r="R28"/>
  <c r="Q29"/>
  <c r="Q28"/>
  <c r="R27" i="15"/>
  <c r="I20" s="1"/>
  <c r="Q28"/>
  <c r="H20" i="16"/>
  <c r="R27"/>
  <c r="I20" s="1"/>
  <c r="R28" i="18"/>
  <c r="Q27"/>
  <c r="R29"/>
  <c r="Q27" i="19"/>
  <c r="R28"/>
  <c r="I20" s="1"/>
  <c r="Q29"/>
  <c r="Q28"/>
  <c r="R27" i="20"/>
  <c r="I20" s="1"/>
  <c r="Q28"/>
  <c r="R27" i="21"/>
  <c r="I20" s="1"/>
  <c r="R28" i="22"/>
  <c r="Q27"/>
  <c r="R29"/>
  <c r="Q27" i="23"/>
  <c r="R28"/>
  <c r="Q29"/>
  <c r="Q28"/>
  <c r="R27" i="24"/>
  <c r="I20" s="1"/>
  <c r="Q28"/>
  <c r="H20" i="25"/>
  <c r="R27"/>
  <c r="I20" s="1"/>
  <c r="R28" i="26"/>
  <c r="Q27"/>
  <c r="R29"/>
  <c r="Q27" i="27"/>
  <c r="R28"/>
  <c r="I20" s="1"/>
  <c r="Q29"/>
  <c r="Q28"/>
  <c r="R27" i="28"/>
  <c r="I20" s="1"/>
  <c r="Q28"/>
  <c r="R27" i="29"/>
  <c r="I20" s="1"/>
  <c r="R28" i="30"/>
  <c r="Q27"/>
  <c r="R29"/>
  <c r="Q27" i="31"/>
  <c r="H20" s="1"/>
  <c r="T110" i="34"/>
  <c r="T44" s="1"/>
  <c r="T46" s="1"/>
  <c r="T7" s="1"/>
  <c r="T35"/>
  <c r="T49" s="1"/>
  <c r="T8" s="1"/>
  <c r="F64"/>
  <c r="F120"/>
  <c r="F110"/>
  <c r="F35"/>
  <c r="F49" s="1"/>
  <c r="F8" s="1"/>
  <c r="V110"/>
  <c r="V64"/>
  <c r="V35"/>
  <c r="V49" s="1"/>
  <c r="V8" s="1"/>
  <c r="V120"/>
  <c r="X64"/>
  <c r="X120"/>
  <c r="X35"/>
  <c r="X49" s="1"/>
  <c r="X110"/>
  <c r="R35"/>
  <c r="R49" s="1"/>
  <c r="R8" s="1"/>
  <c r="R110"/>
  <c r="R64"/>
  <c r="R120"/>
  <c r="K5"/>
  <c r="K6" s="1"/>
  <c r="X8"/>
  <c r="K113"/>
  <c r="K100"/>
  <c r="P113"/>
  <c r="P101"/>
  <c r="M7" i="4"/>
  <c r="I2" i="15"/>
  <c r="H19" i="12" s="1"/>
  <c r="I2" i="22"/>
  <c r="H61" i="12" s="1"/>
  <c r="M13" i="4"/>
  <c r="M23"/>
  <c r="I2" i="32"/>
  <c r="H131" i="12" s="1"/>
  <c r="H116" i="34"/>
  <c r="N117"/>
  <c r="J98"/>
  <c r="J111" s="1"/>
  <c r="J97"/>
  <c r="J78" s="1"/>
  <c r="I2" i="20"/>
  <c r="H47" i="12" s="1"/>
  <c r="M11" i="4"/>
  <c r="I2" i="26"/>
  <c r="H89" i="12" s="1"/>
  <c r="M17" i="4"/>
  <c r="I2" i="31"/>
  <c r="B131" i="12" s="1"/>
  <c r="M22" i="4"/>
  <c r="G110" i="34"/>
  <c r="G44" s="1"/>
  <c r="G46" s="1"/>
  <c r="G7" s="1"/>
  <c r="S116"/>
  <c r="M124"/>
  <c r="M125"/>
  <c r="L33"/>
  <c r="L69" s="1"/>
  <c r="I13"/>
  <c r="M13"/>
  <c r="Q13"/>
  <c r="Q28" i="6"/>
  <c r="Q27"/>
  <c r="Q29" i="15"/>
  <c r="H20" s="1"/>
  <c r="Q29" i="18"/>
  <c r="H20" s="1"/>
  <c r="Q29" i="20"/>
  <c r="Q29" i="22"/>
  <c r="H20" s="1"/>
  <c r="Q29" i="24"/>
  <c r="H20" s="1"/>
  <c r="Q29" i="26"/>
  <c r="H20" s="1"/>
  <c r="Q29" i="28"/>
  <c r="Q29" i="30"/>
  <c r="H20" s="1"/>
  <c r="I20" i="6" l="1"/>
  <c r="V44" i="34"/>
  <c r="V46" s="1"/>
  <c r="V7" s="1"/>
  <c r="L120"/>
  <c r="L110"/>
  <c r="L44" s="1"/>
  <c r="L46" s="1"/>
  <c r="L7" s="1"/>
  <c r="F44"/>
  <c r="F46" s="1"/>
  <c r="F7" s="1"/>
  <c r="H111"/>
  <c r="N78"/>
  <c r="X44"/>
  <c r="X46" s="1"/>
  <c r="X7" s="1"/>
  <c r="N110"/>
  <c r="N44" s="1"/>
  <c r="N46" s="1"/>
  <c r="N7" s="1"/>
  <c r="N120"/>
  <c r="N64"/>
  <c r="N35"/>
  <c r="N49" s="1"/>
  <c r="N8" s="1"/>
  <c r="P116"/>
  <c r="P88"/>
  <c r="P36"/>
  <c r="P47" s="1"/>
  <c r="S110"/>
  <c r="S44" s="1"/>
  <c r="S46" s="1"/>
  <c r="S120"/>
  <c r="S64"/>
  <c r="H20" i="23"/>
  <c r="H20" i="14"/>
  <c r="H20" i="13"/>
  <c r="H20" i="28"/>
  <c r="H20" i="20"/>
  <c r="T64" i="34"/>
  <c r="H20" i="27"/>
  <c r="I20" i="23"/>
  <c r="H20" i="19"/>
  <c r="I20" i="14"/>
  <c r="I20" i="13"/>
  <c r="S7" i="34"/>
  <c r="S5" s="1"/>
  <c r="S6" s="1"/>
  <c r="G8"/>
  <c r="G5" s="1"/>
  <c r="G6" s="1"/>
  <c r="P89"/>
  <c r="P111" s="1"/>
  <c r="R111"/>
  <c r="R44" s="1"/>
  <c r="R46" s="1"/>
  <c r="R7" s="1"/>
  <c r="R5" s="1"/>
  <c r="R6" s="1"/>
  <c r="P78"/>
  <c r="P120" s="1"/>
  <c r="H110"/>
  <c r="H44" s="1"/>
  <c r="H46" s="1"/>
  <c r="H7" s="1"/>
  <c r="H35"/>
  <c r="H49" s="1"/>
  <c r="H8" s="1"/>
  <c r="H64"/>
  <c r="H120"/>
  <c r="P110"/>
  <c r="P44" s="1"/>
  <c r="P46" s="1"/>
  <c r="P7" s="1"/>
  <c r="P64"/>
  <c r="H20" i="6"/>
  <c r="I20" i="26"/>
  <c r="I20" i="18"/>
  <c r="Y35" i="34"/>
  <c r="Y49" s="1"/>
  <c r="Y8" s="1"/>
  <c r="Y110"/>
  <c r="Y44" s="1"/>
  <c r="Y46" s="1"/>
  <c r="Y7" s="1"/>
  <c r="Y120"/>
  <c r="Y64"/>
  <c r="I20" i="30"/>
  <c r="I20" i="22"/>
  <c r="U5" i="34"/>
  <c r="U6" s="1"/>
  <c r="J120"/>
  <c r="J110"/>
  <c r="J44" s="1"/>
  <c r="J46" s="1"/>
  <c r="J7" s="1"/>
  <c r="J35"/>
  <c r="J49" s="1"/>
  <c r="J8" s="1"/>
  <c r="J64"/>
  <c r="V5"/>
  <c r="V6" s="1"/>
  <c r="Q122"/>
  <c r="Q123"/>
  <c r="Q96"/>
  <c r="Q87"/>
  <c r="Q77"/>
  <c r="Q116"/>
  <c r="Q105"/>
  <c r="Q36"/>
  <c r="Q45"/>
  <c r="I122"/>
  <c r="I36"/>
  <c r="I105"/>
  <c r="I77"/>
  <c r="I45" s="1"/>
  <c r="I96"/>
  <c r="I87"/>
  <c r="I123"/>
  <c r="I116"/>
  <c r="L113"/>
  <c r="L101"/>
  <c r="L100"/>
  <c r="L49"/>
  <c r="L8" s="1"/>
  <c r="L5" s="1"/>
  <c r="L6" s="1"/>
  <c r="X5"/>
  <c r="X6" s="1"/>
  <c r="F5"/>
  <c r="F6" s="1"/>
  <c r="N5"/>
  <c r="N6" s="1"/>
  <c r="M122"/>
  <c r="M123"/>
  <c r="M77"/>
  <c r="M87"/>
  <c r="M45"/>
  <c r="M116"/>
  <c r="M105"/>
  <c r="M96"/>
  <c r="M36"/>
  <c r="M47" s="1"/>
  <c r="T5"/>
  <c r="T6" s="1"/>
  <c r="J5" l="1"/>
  <c r="J6" s="1"/>
  <c r="Y5"/>
  <c r="Y6" s="1"/>
  <c r="P35"/>
  <c r="P49" s="1"/>
  <c r="P8" s="1"/>
  <c r="H5"/>
  <c r="H6" s="1"/>
  <c r="I47"/>
  <c r="Q2"/>
  <c r="P5"/>
  <c r="P6" s="1"/>
  <c r="M88"/>
  <c r="M89"/>
  <c r="M107"/>
  <c r="M106"/>
  <c r="I88"/>
  <c r="I89"/>
  <c r="Q89"/>
  <c r="Q88"/>
  <c r="M2"/>
  <c r="I2"/>
  <c r="Q47"/>
  <c r="M98"/>
  <c r="M97"/>
  <c r="I97"/>
  <c r="I98"/>
  <c r="I107"/>
  <c r="I106"/>
  <c r="Q106"/>
  <c r="Q107"/>
  <c r="Q97"/>
  <c r="Q98"/>
  <c r="Q78" l="1"/>
  <c r="I111"/>
  <c r="M111"/>
  <c r="Q111"/>
  <c r="I78"/>
  <c r="M78"/>
  <c r="M120" l="1"/>
  <c r="M35"/>
  <c r="M49" s="1"/>
  <c r="M8" s="1"/>
  <c r="M110"/>
  <c r="M44" s="1"/>
  <c r="M46" s="1"/>
  <c r="M7" s="1"/>
  <c r="M64"/>
  <c r="Q120"/>
  <c r="Q110"/>
  <c r="Q44" s="1"/>
  <c r="Q46" s="1"/>
  <c r="Q7" s="1"/>
  <c r="Q64"/>
  <c r="Q35"/>
  <c r="Q49" s="1"/>
  <c r="Q8" s="1"/>
  <c r="I35"/>
  <c r="I49" s="1"/>
  <c r="I8" s="1"/>
  <c r="I64"/>
  <c r="I110"/>
  <c r="I44" s="1"/>
  <c r="I46" s="1"/>
  <c r="I7" s="1"/>
  <c r="I5" s="1"/>
  <c r="I6" s="1"/>
  <c r="I120"/>
  <c r="M5" l="1"/>
  <c r="M6" s="1"/>
  <c r="Q5"/>
  <c r="Q6" s="1"/>
</calcChain>
</file>

<file path=xl/comments1.xml><?xml version="1.0" encoding="utf-8"?>
<comments xmlns="http://schemas.openxmlformats.org/spreadsheetml/2006/main">
  <authors>
    <author>Joel Tilley</author>
  </authors>
  <commentList>
    <comment ref="C22" authorId="0">
      <text>
        <r>
          <rPr>
            <b/>
            <sz val="8"/>
            <color indexed="81"/>
            <rFont val="Tahoma"/>
            <family val="2"/>
          </rPr>
          <t>Line-by-line instructions</t>
        </r>
        <r>
          <rPr>
            <sz val="8"/>
            <color indexed="81"/>
            <rFont val="Tahoma"/>
            <family val="2"/>
          </rPr>
          <t xml:space="preserve">
These instructions also appear in the P Index spreadsheet, as comments attached to the cells describing each row (Column E). Just hold the mouse pointer over a cell in Column E and the instruction for that row will appear.</t>
        </r>
      </text>
    </comment>
  </commentList>
</comments>
</file>

<file path=xl/comments2.xml><?xml version="1.0" encoding="utf-8"?>
<comments xmlns="http://schemas.openxmlformats.org/spreadsheetml/2006/main">
  <authors>
    <author>Joel Tilley</author>
  </authors>
  <commentList>
    <comment ref="E2" authorId="0">
      <text>
        <r>
          <rPr>
            <sz val="8"/>
            <color indexed="81"/>
            <rFont val="Tahoma"/>
            <family val="2"/>
          </rPr>
          <t xml:space="preserve">Error messages may be displayed in the this row, when there is a logical conflict between two data items (for example, if line 7 has a manure incorporation method showing, and line 8 has "Not incorporated"). A P Index value will still be calculated, but the results are unpredictable; read the error message to find out where the conflict occurs and make the correct entries.
</t>
        </r>
      </text>
    </comment>
    <comment ref="E3" authorId="0">
      <text>
        <r>
          <rPr>
            <b/>
            <sz val="8"/>
            <color indexed="81"/>
            <rFont val="Tahoma"/>
            <family val="2"/>
          </rPr>
          <t>Field ID</t>
        </r>
        <r>
          <rPr>
            <sz val="8"/>
            <color indexed="81"/>
            <rFont val="Tahoma"/>
            <family val="2"/>
          </rPr>
          <t xml:space="preserve">
Any field identification information or notes may be entered here.</t>
        </r>
      </text>
    </comment>
    <comment ref="E5" authorId="0">
      <text>
        <r>
          <rPr>
            <b/>
            <sz val="8"/>
            <color indexed="81"/>
            <rFont val="Tahoma"/>
            <family val="2"/>
          </rPr>
          <t>P Index:</t>
        </r>
        <r>
          <rPr>
            <sz val="8"/>
            <color indexed="81"/>
            <rFont val="Tahoma"/>
            <family val="2"/>
          </rPr>
          <t xml:space="preserve">
Numerical value of the P Index</t>
        </r>
      </text>
    </comment>
    <comment ref="E6" authorId="0">
      <text>
        <r>
          <rPr>
            <b/>
            <sz val="8"/>
            <color indexed="81"/>
            <rFont val="Tahoma"/>
            <family val="2"/>
          </rPr>
          <t>Interpretation</t>
        </r>
        <r>
          <rPr>
            <sz val="8"/>
            <color indexed="81"/>
            <rFont val="Tahoma"/>
            <family val="2"/>
          </rPr>
          <t xml:space="preserve">
Interpretation category (risk of phosphorus runoff is LOW, MEDIUM, HIGH, or VERY HIGH). See PI Interpretation tab for detailed explanation.</t>
        </r>
      </text>
    </comment>
    <comment ref="E7" authorId="0">
      <text>
        <r>
          <rPr>
            <b/>
            <sz val="8"/>
            <color indexed="81"/>
            <rFont val="Tahoma"/>
            <family val="2"/>
          </rPr>
          <t>Pathway I:  Sediment-bound P</t>
        </r>
        <r>
          <rPr>
            <sz val="8"/>
            <color indexed="81"/>
            <rFont val="Tahoma"/>
            <family val="2"/>
          </rPr>
          <t xml:space="preserve">
The portion of the P Index due to particulate (sediment-bound) phosphorus.</t>
        </r>
      </text>
    </comment>
    <comment ref="E8" authorId="0">
      <text>
        <r>
          <rPr>
            <b/>
            <sz val="8"/>
            <color indexed="81"/>
            <rFont val="Tahoma"/>
            <family val="2"/>
          </rPr>
          <t>Pathway II:  Dissolved P in surface runoff</t>
        </r>
        <r>
          <rPr>
            <sz val="8"/>
            <color indexed="81"/>
            <rFont val="Tahoma"/>
            <family val="2"/>
          </rPr>
          <t xml:space="preserve">
The portion of the P Index due to dissolved phosphorus. </t>
        </r>
      </text>
    </comment>
    <comment ref="E9" authorId="0">
      <text>
        <r>
          <rPr>
            <b/>
            <sz val="8"/>
            <color indexed="81"/>
            <rFont val="Tahoma"/>
            <family val="2"/>
          </rPr>
          <t xml:space="preserve">
Location (VT county)</t>
        </r>
        <r>
          <rPr>
            <sz val="8"/>
            <color indexed="81"/>
            <rFont val="Tahoma"/>
            <family val="2"/>
          </rPr>
          <t xml:space="preserve">
Select the region of Vermont (based on counties). This value affects the growing season and snowmelt runoff volumes, which vary with annual and seasonal precepitation and temperature.</t>
        </r>
      </text>
    </comment>
    <comment ref="E10" authorId="0">
      <text>
        <r>
          <rPr>
            <b/>
            <sz val="8"/>
            <color indexed="81"/>
            <rFont val="Tahoma"/>
            <family val="2"/>
          </rPr>
          <t xml:space="preserve">Elevation zone, feet
</t>
        </r>
        <r>
          <rPr>
            <sz val="8"/>
            <color indexed="81"/>
            <rFont val="Tahoma"/>
            <family val="2"/>
          </rPr>
          <t>Select the elevation zone of the field (&lt; 600 ft, 600-1000 ft, or &gt; 1000 ft). Higher elevations have more precipitation, and therefore more runoff.</t>
        </r>
      </text>
    </comment>
    <comment ref="E11" authorId="0">
      <text>
        <r>
          <rPr>
            <b/>
            <sz val="8"/>
            <color indexed="81"/>
            <rFont val="Tahoma"/>
            <family val="2"/>
          </rPr>
          <t xml:space="preserve">Soil test P, ppm (Mod. Morgan's)
</t>
        </r>
        <r>
          <rPr>
            <sz val="8"/>
            <color indexed="81"/>
            <rFont val="Tahoma"/>
            <family val="2"/>
          </rPr>
          <t>Enter the available phosphorus value from the most recent soil test report (parts per million P in Modified Morgan's extract). If soil test P is reported in some other form (for example, Mehlich-3) it must be converted (see ??? for conversion factors).</t>
        </r>
      </text>
    </comment>
    <comment ref="E12" authorId="0">
      <text>
        <r>
          <rPr>
            <b/>
            <sz val="8"/>
            <color indexed="81"/>
            <rFont val="Tahoma"/>
            <family val="2"/>
          </rPr>
          <t>Reactive soil aluminum, ppm</t>
        </r>
        <r>
          <rPr>
            <sz val="8"/>
            <color indexed="81"/>
            <rFont val="Tahoma"/>
            <family val="2"/>
          </rPr>
          <t xml:space="preserve">
Enter the reactive aluminum value from the most recent soil test report (parts per million Al in Modified Morgan's extract). This value affects how much of added P in manure or fertilizer gets tightly bound in the soil, rather than appearing in runoff.</t>
        </r>
      </text>
    </comment>
    <comment ref="E13" authorId="0">
      <text>
        <r>
          <rPr>
            <b/>
            <sz val="8"/>
            <color indexed="81"/>
            <rFont val="Tahoma"/>
            <family val="2"/>
          </rPr>
          <t>Manure rate, lb P2O5/ac   (1st application)</t>
        </r>
        <r>
          <rPr>
            <sz val="8"/>
            <color indexed="81"/>
            <rFont val="Tahoma"/>
            <family val="2"/>
          </rPr>
          <t xml:space="preserve">
Organic amendment application rates (lb P2O5/ac, adjusted for availability) are automatically transferred from the individual field sheets.</t>
        </r>
      </text>
    </comment>
    <comment ref="E14" authorId="0">
      <text>
        <r>
          <rPr>
            <b/>
            <sz val="8"/>
            <color indexed="81"/>
            <rFont val="Tahoma"/>
            <family val="2"/>
          </rPr>
          <t>Manure application time of year  (1st)</t>
        </r>
        <r>
          <rPr>
            <sz val="8"/>
            <color indexed="81"/>
            <rFont val="Tahoma"/>
            <family val="2"/>
          </rPr>
          <t xml:space="preserve">
Select FIRST manure application time. Time of application affects probability that runoff will occur.</t>
        </r>
      </text>
    </comment>
    <comment ref="E15" authorId="0">
      <text>
        <r>
          <rPr>
            <b/>
            <sz val="8"/>
            <color indexed="81"/>
            <rFont val="Tahoma"/>
            <family val="2"/>
          </rPr>
          <t>Manure application method  (1st)</t>
        </r>
        <r>
          <rPr>
            <sz val="8"/>
            <color indexed="81"/>
            <rFont val="Tahoma"/>
            <family val="2"/>
          </rPr>
          <t xml:space="preserve">
Select FIRST manure application method. Incorporation by tillage reduces manure P exposed to runoff.</t>
        </r>
      </text>
    </comment>
    <comment ref="E16" authorId="0">
      <text>
        <r>
          <rPr>
            <b/>
            <sz val="8"/>
            <color indexed="81"/>
            <rFont val="Tahoma"/>
            <family val="2"/>
          </rPr>
          <t>Manure time to incorporation  (1st)</t>
        </r>
        <r>
          <rPr>
            <sz val="8"/>
            <color indexed="81"/>
            <rFont val="Tahoma"/>
            <family val="2"/>
          </rPr>
          <t xml:space="preserve">
Select FIRST manure application time to incorporation. Incorporation by tillage reduces manure P exposed to runoff and timing affects probability that runoff will occur.</t>
        </r>
      </text>
    </comment>
    <comment ref="E17" authorId="0">
      <text>
        <r>
          <rPr>
            <b/>
            <sz val="8"/>
            <color indexed="81"/>
            <rFont val="Tahoma"/>
            <family val="2"/>
          </rPr>
          <t>Manure type</t>
        </r>
        <r>
          <rPr>
            <sz val="8"/>
            <color indexed="81"/>
            <rFont val="Tahoma"/>
            <family val="2"/>
          </rPr>
          <t xml:space="preserve">
This version of the P Index incorporates research estimating seasonal P release rates from a variety of organic amendments. These are selected in the numbered field sheets and transferred to the P Index. The category of "Other" has an availability of 100%.</t>
        </r>
      </text>
    </comment>
    <comment ref="E18" authorId="0">
      <text>
        <r>
          <rPr>
            <b/>
            <sz val="8"/>
            <color indexed="81"/>
            <rFont val="Tahoma"/>
            <family val="2"/>
          </rPr>
          <t>Manure rate, lb P2O5/ac   (1st application)</t>
        </r>
        <r>
          <rPr>
            <sz val="8"/>
            <color indexed="81"/>
            <rFont val="Tahoma"/>
            <family val="2"/>
          </rPr>
          <t xml:space="preserve">
Organic amendment application rates (lb P2O5/ac, adjusted for availability) are automatically transferred from the individual field sheets.</t>
        </r>
      </text>
    </comment>
    <comment ref="E19" authorId="0">
      <text>
        <r>
          <rPr>
            <b/>
            <sz val="8"/>
            <color indexed="81"/>
            <rFont val="Tahoma"/>
            <family val="2"/>
          </rPr>
          <t>Manure application time of year  (1st)</t>
        </r>
        <r>
          <rPr>
            <sz val="8"/>
            <color indexed="81"/>
            <rFont val="Tahoma"/>
            <family val="2"/>
          </rPr>
          <t xml:space="preserve">
Select FIRST manure application time. Time of application affects probability that runoff will occur.</t>
        </r>
      </text>
    </comment>
    <comment ref="E20" authorId="0">
      <text>
        <r>
          <rPr>
            <b/>
            <sz val="8"/>
            <color indexed="81"/>
            <rFont val="Tahoma"/>
            <family val="2"/>
          </rPr>
          <t>Manure application method  (2nd)</t>
        </r>
        <r>
          <rPr>
            <sz val="8"/>
            <color indexed="81"/>
            <rFont val="Tahoma"/>
            <family val="2"/>
          </rPr>
          <t xml:space="preserve">
Select SECOND manure application method. Incorporation by tillage reduces manure P exposed to runoff.</t>
        </r>
      </text>
    </comment>
    <comment ref="E21" authorId="0">
      <text>
        <r>
          <rPr>
            <b/>
            <sz val="8"/>
            <color indexed="81"/>
            <rFont val="Tahoma"/>
            <family val="2"/>
          </rPr>
          <t>Manure time to incorporation  (2nd)</t>
        </r>
        <r>
          <rPr>
            <sz val="8"/>
            <color indexed="81"/>
            <rFont val="Tahoma"/>
            <family val="2"/>
          </rPr>
          <t xml:space="preserve">
Select SECOND manure application time to incorporation. Incorporation by tillage reduces manure P exposed to runoff and timing affects probability that runoff will occur.</t>
        </r>
      </text>
    </comment>
    <comment ref="E22" authorId="0">
      <text>
        <r>
          <rPr>
            <b/>
            <sz val="8"/>
            <color indexed="81"/>
            <rFont val="Tahoma"/>
            <family val="2"/>
          </rPr>
          <t>Manure type</t>
        </r>
        <r>
          <rPr>
            <sz val="8"/>
            <color indexed="81"/>
            <rFont val="Tahoma"/>
            <family val="2"/>
          </rPr>
          <t xml:space="preserve">
This version of the P Index incorporates research estimating seasonal P release rates from a variety of organic amendments. These are selected in the numbered field sheets and transferred to the P Index. The category of "Other" has an availability of 100%.</t>
        </r>
      </text>
    </comment>
    <comment ref="E23" authorId="0">
      <text>
        <r>
          <rPr>
            <b/>
            <sz val="8"/>
            <color indexed="81"/>
            <rFont val="Tahoma"/>
            <family val="2"/>
          </rPr>
          <t>Fertilizer rate, lb P2O5/ac</t>
        </r>
        <r>
          <rPr>
            <sz val="8"/>
            <color indexed="81"/>
            <rFont val="Tahoma"/>
            <family val="2"/>
          </rPr>
          <t xml:space="preserve">
Enter fertilizer application rate (lb P2O5 / acre).</t>
        </r>
      </text>
    </comment>
    <comment ref="E24" authorId="0">
      <text>
        <r>
          <rPr>
            <b/>
            <sz val="8"/>
            <color indexed="81"/>
            <rFont val="Tahoma"/>
            <family val="2"/>
          </rPr>
          <t>Fertilizer application method/timing</t>
        </r>
        <r>
          <rPr>
            <sz val="8"/>
            <color indexed="81"/>
            <rFont val="Tahoma"/>
            <family val="2"/>
          </rPr>
          <t xml:space="preserve">
Select fertilizer application method and timing. See "Manure application" explanation above.</t>
        </r>
      </text>
    </comment>
    <comment ref="E25" authorId="0">
      <text>
        <r>
          <rPr>
            <b/>
            <sz val="8"/>
            <color indexed="81"/>
            <rFont val="Tahoma"/>
            <family val="2"/>
          </rPr>
          <t>Erosion rate (RUSLE, tons/ac)</t>
        </r>
        <r>
          <rPr>
            <sz val="8"/>
            <color indexed="81"/>
            <rFont val="Tahoma"/>
            <family val="2"/>
          </rPr>
          <t xml:space="preserve">
Enter the estimated erosion rate (tons/acre/year). Use an erosion estimate for the specific year and crop, NOT for an average over the rotation, to match the annual information for manure and fertilizer application and crop inputs. If using RUSLE2, choose the "Sediment delivery" option, as the P Index requires soil leaving the edge of the field.</t>
        </r>
      </text>
    </comment>
    <comment ref="E26" authorId="0">
      <text>
        <r>
          <rPr>
            <b/>
            <sz val="8"/>
            <color indexed="81"/>
            <rFont val="Tahoma"/>
            <family val="2"/>
          </rPr>
          <t xml:space="preserve">Soil type (series)
</t>
        </r>
        <r>
          <rPr>
            <sz val="8"/>
            <color indexed="81"/>
            <rFont val="Tahoma"/>
            <family val="2"/>
          </rPr>
          <t>Select the soil series from the list. This will automatically select the appropriate Hydrologic Soil Group (used in estimating runoff volume) and surface texture group (clay or non-clay, used in determining the influence of buffer width on sediment retention).</t>
        </r>
      </text>
    </comment>
    <comment ref="E27" authorId="0">
      <text>
        <r>
          <rPr>
            <b/>
            <sz val="8"/>
            <color indexed="81"/>
            <rFont val="Tahoma"/>
            <family val="2"/>
          </rPr>
          <t>Surface cover %</t>
        </r>
        <r>
          <rPr>
            <sz val="8"/>
            <color indexed="81"/>
            <rFont val="Tahoma"/>
            <family val="2"/>
          </rPr>
          <t xml:space="preserve">
Select the % surface cover (for cultivated crops, use percent residue cover after planting). This value modifies the base runoff amount estimated from the location and elevation (vegetative cover traps water, reducing runoff).</t>
        </r>
      </text>
    </comment>
    <comment ref="E28" authorId="0">
      <text>
        <r>
          <rPr>
            <b/>
            <sz val="8"/>
            <color indexed="81"/>
            <rFont val="Tahoma"/>
            <family val="2"/>
          </rPr>
          <t>Crop / Vegetation type</t>
        </r>
        <r>
          <rPr>
            <sz val="8"/>
            <color indexed="81"/>
            <rFont val="Tahoma"/>
            <family val="2"/>
          </rPr>
          <t xml:space="preserve">
Select the crop or vegetation type. This value modifies the base runoff amount estimated from the location and elevation. Some combinations of crop and cover are not allowed and produce an error ("#NA"); for example, forages, pasture, and woodland must have &gt; 20 % cover. (See Table 2 in Supplemental Data tab.)</t>
        </r>
      </text>
    </comment>
    <comment ref="E29" authorId="0">
      <text>
        <r>
          <rPr>
            <b/>
            <sz val="8"/>
            <color indexed="81"/>
            <rFont val="Tahoma"/>
            <family val="2"/>
          </rPr>
          <t>Total distance to stream, feet.</t>
        </r>
        <r>
          <rPr>
            <sz val="8"/>
            <color indexed="81"/>
            <rFont val="Tahoma"/>
            <family val="2"/>
          </rPr>
          <t xml:space="preserve">
Enter the total distance (in feet) between field edge and the nearest pond, stream, or water pathway (e.g. drainage ditch). This value is used to calculate a Sediment Delivery Ratio, which accounts for a reduction (maximum reduction is 60%, at about 300 feet) in eroded sediment as it is transported from field edge to receiving water body. See Figure 1 in Supplemental Data tab. If the distance is greater than 300 feet, just enter 300--anything greater will not affect the results.</t>
        </r>
      </text>
    </comment>
    <comment ref="E30" authorId="0">
      <text>
        <r>
          <rPr>
            <b/>
            <sz val="8"/>
            <color indexed="81"/>
            <rFont val="Tahoma"/>
            <family val="2"/>
          </rPr>
          <t>Vegetated buffer width, feet.</t>
        </r>
        <r>
          <rPr>
            <sz val="8"/>
            <color indexed="81"/>
            <rFont val="Tahoma"/>
            <family val="2"/>
          </rPr>
          <t xml:space="preserve">
Enter the width (in feet) of buffer between field edge and the nearest pond, stream, or water pathway (e.g. drainage ditch). The buffer must consist of perennial vegetation. (It may be harvested, but cannot have fertilizer or manure applied to it, except for initial establishment.) If there is concentrated flow (CF) across it, it is not  considered a buffer. This value is used to calculate a Sediment Delivery Ratio, which accounts for a reduction (maximum reduction is 60%, at about 300 feet) in eroded sediment as it is transported from field edge to receiving water body. See Figure 1 in Supplemental Data tab. If the distance is greater than 300 feet, just enter 300--anything greater will not affect the results.</t>
        </r>
      </text>
    </comment>
    <comment ref="E31" authorId="0">
      <text>
        <r>
          <rPr>
            <sz val="8"/>
            <color indexed="81"/>
            <rFont val="Tahoma"/>
            <family val="2"/>
          </rPr>
          <t>Enter the width (in feet) of manure spreading setback. This value has no effect on calculated P Index if manure aplication rate is zero.
NOTE: This distance is measured WITHIN the field, whereas the Total Distance and Buffer Width are between the field edge and the nearest water body or channe;.</t>
        </r>
      </text>
    </comment>
    <comment ref="E32" authorId="0">
      <text>
        <r>
          <rPr>
            <b/>
            <sz val="8"/>
            <color indexed="81"/>
            <rFont val="Tahoma"/>
            <family val="2"/>
          </rPr>
          <t>Sediment trap structure or other erosion control</t>
        </r>
        <r>
          <rPr>
            <sz val="8"/>
            <color indexed="81"/>
            <rFont val="Tahoma"/>
            <family val="2"/>
          </rPr>
          <t xml:space="preserve">
If any NRCS-defined sediment trap structures are present, select them here. These reduce sediment to a much greater degree than does a vegetated buffer. There is also a selection "Misc. water / sed. diversion", which can be used in unusual circumstances, such as topography that would likely trap virtually all of the eroded sediment leaving a field (for example, a very flat lower field between a sloping upper field and the stream).</t>
        </r>
      </text>
    </comment>
    <comment ref="B34" authorId="0">
      <text>
        <r>
          <rPr>
            <b/>
            <sz val="8"/>
            <color indexed="81"/>
            <rFont val="Tahoma"/>
            <family val="2"/>
          </rPr>
          <t>Joel Tilley:</t>
        </r>
        <r>
          <rPr>
            <sz val="8"/>
            <color indexed="81"/>
            <rFont val="Tahoma"/>
            <family val="2"/>
          </rPr>
          <t xml:space="preserve">
10/29--TP slope was 8.458
BAP slope 1.65</t>
        </r>
      </text>
    </comment>
    <comment ref="B35" authorId="0">
      <text>
        <r>
          <rPr>
            <b/>
            <sz val="8"/>
            <color indexed="81"/>
            <rFont val="Tahoma"/>
            <family val="2"/>
          </rPr>
          <t>Joel Tilley:</t>
        </r>
        <r>
          <rPr>
            <sz val="8"/>
            <color indexed="81"/>
            <rFont val="Tahoma"/>
            <family val="2"/>
          </rPr>
          <t xml:space="preserve">
10/29--TP int was 766.48
BAP int. 18.1</t>
        </r>
      </text>
    </comment>
    <comment ref="C35" authorId="0">
      <text>
        <r>
          <rPr>
            <b/>
            <sz val="8"/>
            <color indexed="81"/>
            <rFont val="Tahoma"/>
            <family val="2"/>
          </rPr>
          <t>calculated intercept=650</t>
        </r>
        <r>
          <rPr>
            <sz val="8"/>
            <color indexed="81"/>
            <rFont val="Tahoma"/>
            <family val="2"/>
          </rPr>
          <t xml:space="preserve">
</t>
        </r>
      </text>
    </comment>
    <comment ref="D35" authorId="0">
      <text>
        <r>
          <rPr>
            <b/>
            <sz val="8"/>
            <color indexed="81"/>
            <rFont val="Tahoma"/>
            <family val="2"/>
          </rPr>
          <t>calculated intercept=760</t>
        </r>
      </text>
    </comment>
    <comment ref="E35" authorId="0">
      <text>
        <r>
          <rPr>
            <b/>
            <sz val="8"/>
            <color indexed="81"/>
            <rFont val="Tahoma"/>
            <family val="2"/>
          </rPr>
          <t>Joel Tilley:</t>
        </r>
        <r>
          <rPr>
            <sz val="8"/>
            <color indexed="81"/>
            <rFont val="Tahoma"/>
            <family val="2"/>
          </rPr>
          <t xml:space="preserve">
after adjusting for added manure/fert P</t>
        </r>
      </text>
    </comment>
    <comment ref="B36" authorId="0">
      <text>
        <r>
          <rPr>
            <b/>
            <sz val="8"/>
            <color indexed="81"/>
            <rFont val="Tahoma"/>
            <family val="2"/>
          </rPr>
          <t>Joel Tilley:</t>
        </r>
        <r>
          <rPr>
            <sz val="8"/>
            <color indexed="81"/>
            <rFont val="Tahoma"/>
            <family val="2"/>
          </rPr>
          <t xml:space="preserve">
based on lab analysis of 300 samples
10/29--TP max was 1700
</t>
        </r>
      </text>
    </comment>
    <comment ref="E36" authorId="0">
      <text>
        <r>
          <rPr>
            <b/>
            <sz val="8"/>
            <color indexed="81"/>
            <rFont val="Tahoma"/>
            <family val="2"/>
          </rPr>
          <t>Joel Tilley:</t>
        </r>
        <r>
          <rPr>
            <sz val="8"/>
            <color indexed="81"/>
            <rFont val="Tahoma"/>
            <family val="2"/>
          </rPr>
          <t xml:space="preserve">
</t>
        </r>
      </text>
    </comment>
    <comment ref="B37" authorId="0">
      <text>
        <r>
          <rPr>
            <b/>
            <sz val="8"/>
            <color indexed="81"/>
            <rFont val="Tahoma"/>
            <family val="2"/>
          </rPr>
          <t>Joel Tilley:</t>
        </r>
        <r>
          <rPr>
            <sz val="8"/>
            <color indexed="81"/>
            <rFont val="Tahoma"/>
            <family val="2"/>
          </rPr>
          <t xml:space="preserve">
10/29--TP avail was 0.4
BAP avail=3</t>
        </r>
      </text>
    </comment>
    <comment ref="E40" authorId="0">
      <text>
        <r>
          <rPr>
            <b/>
            <sz val="8"/>
            <color indexed="81"/>
            <rFont val="Tahoma"/>
            <family val="2"/>
          </rPr>
          <t>Hydrologic soil group</t>
        </r>
        <r>
          <rPr>
            <sz val="8"/>
            <color indexed="81"/>
            <rFont val="Tahoma"/>
            <family val="2"/>
          </rPr>
          <t xml:space="preserve">
Select the soil hydrologic group. In general, Group A soils are deep, coarse-textured, and well to excessively drained; they have the least runoff. Group D soils are very poorly drained or very shallow or very fine-textured (clay); thay have the most runoff. Groups B and C have intermediate characteristics. This value modifies the base runoff amount estimated from the location and elevation.
</t>
        </r>
        <r>
          <rPr>
            <b/>
            <sz val="8"/>
            <color indexed="81"/>
            <rFont val="Tahoma"/>
            <family val="2"/>
          </rPr>
          <t>If you don't know the hydrologic group, but do know the soil type, you can look it up on the HSG tab.</t>
        </r>
      </text>
    </comment>
    <comment ref="B43" authorId="0">
      <text>
        <r>
          <rPr>
            <b/>
            <sz val="8"/>
            <color indexed="81"/>
            <rFont val="Tahoma"/>
            <family val="2"/>
          </rPr>
          <t>Joel Tilley:</t>
        </r>
        <r>
          <rPr>
            <sz val="8"/>
            <color indexed="81"/>
            <rFont val="Tahoma"/>
            <family val="2"/>
          </rPr>
          <t xml:space="preserve">
from MN: 3% of manure P dissolved in high intensity rain immediately following surface appl. (1.35" runoff)</t>
        </r>
      </text>
    </comment>
    <comment ref="E44" authorId="0">
      <text>
        <r>
          <rPr>
            <sz val="8"/>
            <color indexed="81"/>
            <rFont val="Tahoma"/>
            <family val="2"/>
          </rPr>
          <t>lb P2O5/ac * 0.22 = ppm
lb P/ac / 2 = ppm
corrections for Manure &amp; fertilizer P (add) and DP (subtract) (removed 5/20/03):
+(0.22*(F32-(F22*F21))+F36)-(F8/2)</t>
        </r>
      </text>
    </comment>
    <comment ref="E58" authorId="0">
      <text>
        <r>
          <rPr>
            <sz val="8"/>
            <color indexed="81"/>
            <rFont val="Tahoma"/>
            <family val="2"/>
          </rPr>
          <t>This is sort of the "residual effect" of distance beyond the buffer distance; subtracted from buffer factor to give total SDR</t>
        </r>
      </text>
    </comment>
    <comment ref="E64" authorId="0">
      <text>
        <r>
          <rPr>
            <b/>
            <sz val="8"/>
            <color indexed="81"/>
            <rFont val="Tahoma"/>
            <family val="2"/>
          </rPr>
          <t>from adjusted soil test</t>
        </r>
      </text>
    </comment>
    <comment ref="E69" authorId="0">
      <text>
        <r>
          <rPr>
            <b/>
            <sz val="8"/>
            <color indexed="81"/>
            <rFont val="Tahoma"/>
            <family val="2"/>
          </rPr>
          <t>Joel Tilley:</t>
        </r>
        <r>
          <rPr>
            <sz val="8"/>
            <color indexed="81"/>
            <rFont val="Tahoma"/>
            <family val="2"/>
          </rPr>
          <t xml:space="preserve">
million lb/ac = 
    inches  X  0.22651
adjusted so difference between min and max is less</t>
        </r>
      </text>
    </comment>
    <comment ref="E70" authorId="0">
      <text>
        <r>
          <rPr>
            <b/>
            <sz val="8"/>
            <color indexed="81"/>
            <rFont val="Tahoma"/>
            <family val="2"/>
          </rPr>
          <t>Joel Tilley:</t>
        </r>
        <r>
          <rPr>
            <sz val="8"/>
            <color indexed="81"/>
            <rFont val="Tahoma"/>
            <family val="2"/>
          </rPr>
          <t xml:space="preserve">
million lb/ac = 
    inches  X  0.22651
adjusted so difference between min and max is less</t>
        </r>
      </text>
    </comment>
    <comment ref="E76" authorId="0">
      <text>
        <r>
          <rPr>
            <sz val="8"/>
            <color indexed="81"/>
            <rFont val="Tahoma"/>
            <family val="2"/>
          </rPr>
          <t>6/4/03--Not using, pending further research!
11/12/03--apply "non-veg distance" function to runoff through a veg. buffer
11/18/03--add manure spreading setback to buffer distance</t>
        </r>
      </text>
    </comment>
    <comment ref="E77" authorId="0">
      <text>
        <r>
          <rPr>
            <sz val="8"/>
            <color indexed="81"/>
            <rFont val="Tahoma"/>
            <family val="2"/>
          </rPr>
          <t>need spearate RDR incorporating spreading setback for manure</t>
        </r>
      </text>
    </comment>
    <comment ref="E102" authorId="0">
      <text>
        <r>
          <rPr>
            <sz val="8"/>
            <color indexed="81"/>
            <rFont val="Tahoma"/>
            <family val="2"/>
          </rPr>
          <t>for May-Sept application, divide maximum by 3</t>
        </r>
      </text>
    </comment>
    <comment ref="E103" authorId="0">
      <text>
        <r>
          <rPr>
            <b/>
            <sz val="8"/>
            <color indexed="81"/>
            <rFont val="Tahoma"/>
            <family val="2"/>
          </rPr>
          <t>Joel Tilley:</t>
        </r>
        <r>
          <rPr>
            <sz val="8"/>
            <color indexed="81"/>
            <rFont val="Tahoma"/>
            <family val="2"/>
          </rPr>
          <t xml:space="preserve">
corrected 5/14/04.
was ===IF(OR(F22=$B$49,F22=$B$48),F$77+(1-F$77)/2,F$77)</t>
        </r>
      </text>
    </comment>
    <comment ref="E115" authorId="0">
      <text>
        <r>
          <rPr>
            <b/>
            <sz val="8"/>
            <color indexed="81"/>
            <rFont val="Tahoma"/>
            <family val="2"/>
          </rPr>
          <t>Joel Tilley:</t>
        </r>
        <r>
          <rPr>
            <sz val="8"/>
            <color indexed="81"/>
            <rFont val="Tahoma"/>
            <family val="2"/>
          </rPr>
          <t xml:space="preserve">
from PA P Index</t>
        </r>
      </text>
    </comment>
    <comment ref="E116" authorId="0">
      <text>
        <r>
          <rPr>
            <b/>
            <sz val="8"/>
            <color indexed="81"/>
            <rFont val="Tahoma"/>
            <family val="2"/>
          </rPr>
          <t>Joel Tilley:</t>
        </r>
        <r>
          <rPr>
            <sz val="8"/>
            <color indexed="81"/>
            <rFont val="Tahoma"/>
            <family val="2"/>
          </rPr>
          <t xml:space="preserve">
MN: 3% of surf appl manure P dissolved in 1.35" runoff (0.3 million lb water / acre) ;
0.03 lb P / 0.3 million lb water =0.1, mult. x (lb P2O5 applied x 0.44) = ppm P
We changed factor t 1%</t>
        </r>
      </text>
    </comment>
    <comment ref="E117" authorId="0">
      <text>
        <r>
          <rPr>
            <b/>
            <sz val="8"/>
            <color indexed="81"/>
            <rFont val="Tahoma"/>
            <family val="2"/>
          </rPr>
          <t>Joel Tilley:</t>
        </r>
        <r>
          <rPr>
            <sz val="8"/>
            <color indexed="81"/>
            <rFont val="Tahoma"/>
            <family val="2"/>
          </rPr>
          <t xml:space="preserve">
MN: 3% of surf appl manure P dissolved in 1.35" runoff (0.3 million lb water / acre) ;
0.03 lb P / 0.3 million lb water =0.1, mult. x (lb P2O5 applied x 0.44) = ppm P
We changed factor t 1%</t>
        </r>
      </text>
    </comment>
    <comment ref="E142" authorId="0">
      <text>
        <r>
          <rPr>
            <b/>
            <sz val="8"/>
            <color indexed="81"/>
            <rFont val="Tahoma"/>
            <family val="2"/>
          </rPr>
          <t xml:space="preserve">Copy rows 1 to 140
</t>
        </r>
        <r>
          <rPr>
            <sz val="8"/>
            <color indexed="81"/>
            <rFont val="Tahoma"/>
            <family val="2"/>
          </rPr>
          <t xml:space="preserve">Fifty columns are provided for data input. If you need room for more than 50 fields and want to copy existing </t>
        </r>
        <r>
          <rPr>
            <b/>
            <sz val="8"/>
            <color indexed="81"/>
            <rFont val="Tahoma"/>
            <family val="2"/>
          </rPr>
          <t>data</t>
        </r>
        <r>
          <rPr>
            <sz val="8"/>
            <color indexed="81"/>
            <rFont val="Tahoma"/>
            <family val="2"/>
          </rPr>
          <t xml:space="preserve"> columns </t>
        </r>
        <r>
          <rPr>
            <b/>
            <sz val="8"/>
            <color indexed="81"/>
            <rFont val="Tahoma"/>
            <family val="2"/>
          </rPr>
          <t>(NOT columns A - E!)</t>
        </r>
        <r>
          <rPr>
            <sz val="8"/>
            <color indexed="81"/>
            <rFont val="Tahoma"/>
            <family val="2"/>
          </rPr>
          <t xml:space="preserve"> to the right, be sure to copy all rows from 1 through 140 (rows 31 through 139 are hidden, but contain essential data). Besides the data entry and output cells, there are many spreadsheet lines which are hidden and protected. They contain constant values, and formulas for intermediate calculations. These must not be changed! </t>
        </r>
      </text>
    </comment>
    <comment ref="D298" authorId="0">
      <text>
        <r>
          <rPr>
            <b/>
            <sz val="8"/>
            <color indexed="81"/>
            <rFont val="Tahoma"/>
            <family val="2"/>
          </rPr>
          <t>Joel Tilley:</t>
        </r>
        <r>
          <rPr>
            <sz val="8"/>
            <color indexed="81"/>
            <rFont val="Tahoma"/>
            <family val="2"/>
          </rPr>
          <t xml:space="preserve">
not in NRCS db; same as Glover
</t>
        </r>
      </text>
    </comment>
  </commentList>
</comments>
</file>

<file path=xl/comments3.xml><?xml version="1.0" encoding="utf-8"?>
<comments xmlns="http://schemas.openxmlformats.org/spreadsheetml/2006/main">
  <authors>
    <author>Joel Tilley</author>
  </authors>
  <commentList>
    <comment ref="F2" authorId="0">
      <text>
        <r>
          <rPr>
            <b/>
            <sz val="9"/>
            <color indexed="81"/>
            <rFont val="Tahoma"/>
            <family val="2"/>
          </rPr>
          <t>Joel Tilley:</t>
        </r>
        <r>
          <rPr>
            <sz val="9"/>
            <color indexed="81"/>
            <rFont val="Tahoma"/>
            <family val="2"/>
          </rPr>
          <t xml:space="preserve">
heading from Or State calculator:  
 PAN after full season (% of amendment total N, dry wt basis) from Table 1</t>
        </r>
      </text>
    </comment>
  </commentList>
</comments>
</file>

<file path=xl/sharedStrings.xml><?xml version="1.0" encoding="utf-8"?>
<sst xmlns="http://schemas.openxmlformats.org/spreadsheetml/2006/main" count="5443" uniqueCount="858">
  <si>
    <t>Amendment</t>
  </si>
  <si>
    <t>N</t>
  </si>
  <si>
    <t>P</t>
  </si>
  <si>
    <t>K</t>
  </si>
  <si>
    <t>Ca</t>
  </si>
  <si>
    <t>Mg</t>
  </si>
  <si>
    <t>B</t>
  </si>
  <si>
    <t>Crop</t>
  </si>
  <si>
    <t>pH</t>
  </si>
  <si>
    <t>lbs/acre</t>
  </si>
  <si>
    <t>Field</t>
  </si>
  <si>
    <t>acres</t>
  </si>
  <si>
    <t>Soil Test Results</t>
  </si>
  <si>
    <t>lime</t>
  </si>
  <si>
    <t>cover crop/plowed down sod</t>
  </si>
  <si>
    <t>area</t>
  </si>
  <si>
    <t>Formulation</t>
  </si>
  <si>
    <t>sq ft</t>
  </si>
  <si>
    <t>target pH</t>
  </si>
  <si>
    <t>low</t>
  </si>
  <si>
    <t>med</t>
  </si>
  <si>
    <t>opt</t>
  </si>
  <si>
    <t>exc</t>
  </si>
  <si>
    <t>K2O</t>
  </si>
  <si>
    <t>Nutrient Credits</t>
  </si>
  <si>
    <t>lime eq.</t>
  </si>
  <si>
    <t>Other nutrients</t>
  </si>
  <si>
    <r>
      <t>lbs/1000 ft</t>
    </r>
    <r>
      <rPr>
        <vertAlign val="superscript"/>
        <sz val="11"/>
        <color indexed="8"/>
        <rFont val="Calibri"/>
        <family val="2"/>
      </rPr>
      <t>2</t>
    </r>
  </si>
  <si>
    <t>%OM</t>
  </si>
  <si>
    <t>Compost</t>
  </si>
  <si>
    <t>Previous Crops</t>
  </si>
  <si>
    <t>Dairy (cow)</t>
  </si>
  <si>
    <t>solid</t>
  </si>
  <si>
    <t>liquid</t>
  </si>
  <si>
    <t>Poultry, cage layer</t>
  </si>
  <si>
    <t>fresh (20-40% DM)</t>
  </si>
  <si>
    <t>crumbly-dry (61-85% DM)</t>
  </si>
  <si>
    <t>Liquid poultry</t>
  </si>
  <si>
    <t>Manure (incorporated before planting)</t>
  </si>
  <si>
    <t>lbs N/ton</t>
  </si>
  <si>
    <t>grass sod</t>
  </si>
  <si>
    <t>Sweet corn stalks</t>
  </si>
  <si>
    <t>Corn for grain</t>
  </si>
  <si>
    <t>lbs N/acre</t>
  </si>
  <si>
    <t>1% N, 5-15% total N available in first year</t>
  </si>
  <si>
    <t>Field name</t>
  </si>
  <si>
    <t>Tract &amp; Field#</t>
  </si>
  <si>
    <t>Field Acres</t>
  </si>
  <si>
    <t>Dominant Soil</t>
  </si>
  <si>
    <t>Limiting Soil</t>
  </si>
  <si>
    <t>Hydrologic Group</t>
  </si>
  <si>
    <t>Dom. Drainiage Class</t>
  </si>
  <si>
    <t>Water Table Depth</t>
  </si>
  <si>
    <t>Flood Potential</t>
  </si>
  <si>
    <t>Depth to Bedrock</t>
  </si>
  <si>
    <t>Water Qual. Site considerations (springs wells, etc)</t>
  </si>
  <si>
    <t>A</t>
  </si>
  <si>
    <t>C</t>
  </si>
  <si>
    <t>D</t>
  </si>
  <si>
    <t>very poorly</t>
  </si>
  <si>
    <t>poorly</t>
  </si>
  <si>
    <t>moderately well</t>
  </si>
  <si>
    <t>well</t>
  </si>
  <si>
    <t>somewhat excessively</t>
  </si>
  <si>
    <t>excessively</t>
  </si>
  <si>
    <t xml:space="preserve">Soil Test Results </t>
  </si>
  <si>
    <t>Field Name</t>
  </si>
  <si>
    <t xml:space="preserve"> </t>
  </si>
  <si>
    <t>Remaining Nutrient Need (neg. indicates excess)</t>
  </si>
  <si>
    <t>Soil Test Schedule</t>
  </si>
  <si>
    <t>% OM</t>
  </si>
  <si>
    <t>total acres</t>
  </si>
  <si>
    <t>other</t>
  </si>
  <si>
    <t>(t/ac)</t>
  </si>
  <si>
    <t>(lb/ac)</t>
  </si>
  <si>
    <t>P2O5</t>
  </si>
  <si>
    <t>Calculating Nitrogen Credits</t>
  </si>
  <si>
    <t>(use compost analysis results if available)</t>
  </si>
  <si>
    <t>50% of N in first year                    5-10% in next year</t>
  </si>
  <si>
    <t>Acres</t>
  </si>
  <si>
    <t>Fertilizer</t>
  </si>
  <si>
    <t>at planting</t>
  </si>
  <si>
    <t>sidedress 2</t>
  </si>
  <si>
    <t>sidedress 1</t>
  </si>
  <si>
    <t>broadcast</t>
  </si>
  <si>
    <t>soybean meal</t>
  </si>
  <si>
    <r>
      <t>Nutrients Needed</t>
    </r>
    <r>
      <rPr>
        <sz val="11"/>
        <color indexed="8"/>
        <rFont val="Calibri"/>
        <family val="2"/>
      </rPr>
      <t xml:space="preserve"> </t>
    </r>
  </si>
  <si>
    <t>(from NE Veg. Mgmt. Guide or soil test recommendation)</t>
  </si>
  <si>
    <r>
      <t>Crop Needs</t>
    </r>
    <r>
      <rPr>
        <sz val="11"/>
        <color indexed="8"/>
        <rFont val="Calibri"/>
        <family val="2"/>
      </rPr>
      <t xml:space="preserve"> </t>
    </r>
  </si>
  <si>
    <r>
      <t>Remaining Nutrient Need</t>
    </r>
    <r>
      <rPr>
        <i/>
        <sz val="11"/>
        <color indexed="8"/>
        <rFont val="Calibri"/>
        <family val="2"/>
      </rPr>
      <t xml:space="preserve"> (neg. indicates excess)</t>
    </r>
  </si>
  <si>
    <t xml:space="preserve">Year:     </t>
  </si>
  <si>
    <t>chilean nitrate</t>
  </si>
  <si>
    <t>blood meal</t>
  </si>
  <si>
    <t>feather meal</t>
  </si>
  <si>
    <t>fish meal/powder</t>
  </si>
  <si>
    <t>seabird/bat guano</t>
  </si>
  <si>
    <t>10-11</t>
  </si>
  <si>
    <t>9-12</t>
  </si>
  <si>
    <t>3-8</t>
  </si>
  <si>
    <t>1-2</t>
  </si>
  <si>
    <t>bone meal</t>
  </si>
  <si>
    <t>8</t>
  </si>
  <si>
    <t>5</t>
  </si>
  <si>
    <t>1</t>
  </si>
  <si>
    <t>meat and bone meal</t>
  </si>
  <si>
    <t>7</t>
  </si>
  <si>
    <t>2</t>
  </si>
  <si>
    <t>processed liquid fish residues</t>
  </si>
  <si>
    <t>4</t>
  </si>
  <si>
    <t>alfalfa meal</t>
  </si>
  <si>
    <t>pelleted chicken manure</t>
  </si>
  <si>
    <t>2-4</t>
  </si>
  <si>
    <t>1.5</t>
  </si>
  <si>
    <t>15</t>
  </si>
  <si>
    <t>0</t>
  </si>
  <si>
    <t>kelp</t>
  </si>
  <si>
    <t>&lt;1</t>
  </si>
  <si>
    <t>soft rock phosphate</t>
  </si>
  <si>
    <t>15-30</t>
  </si>
  <si>
    <t>22</t>
  </si>
  <si>
    <r>
      <t>P</t>
    </r>
    <r>
      <rPr>
        <b/>
        <sz val="8"/>
        <color indexed="8"/>
        <rFont val="Calibri"/>
        <family val="2"/>
      </rPr>
      <t>2</t>
    </r>
    <r>
      <rPr>
        <b/>
        <sz val="11"/>
        <color indexed="8"/>
        <rFont val="Calibri"/>
        <family val="2"/>
      </rPr>
      <t>O</t>
    </r>
    <r>
      <rPr>
        <b/>
        <sz val="8"/>
        <color indexed="8"/>
        <rFont val="Calibri"/>
        <family val="2"/>
      </rPr>
      <t>5</t>
    </r>
  </si>
  <si>
    <r>
      <t>K</t>
    </r>
    <r>
      <rPr>
        <b/>
        <sz val="8"/>
        <color indexed="8"/>
        <rFont val="Calibri"/>
        <family val="2"/>
      </rPr>
      <t>2</t>
    </r>
    <r>
      <rPr>
        <b/>
        <sz val="11"/>
        <color indexed="8"/>
        <rFont val="Calibri"/>
        <family val="2"/>
      </rPr>
      <t>O</t>
    </r>
  </si>
  <si>
    <t>preplant broadcast</t>
  </si>
  <si>
    <t xml:space="preserve">N </t>
  </si>
  <si>
    <t>Soil Test</t>
  </si>
  <si>
    <t>Nutrient</t>
  </si>
  <si>
    <t>granite dust</t>
  </si>
  <si>
    <t>6</t>
  </si>
  <si>
    <t>gypsum</t>
  </si>
  <si>
    <t>23</t>
  </si>
  <si>
    <t>Kelp</t>
  </si>
  <si>
    <t>1-5</t>
  </si>
  <si>
    <t>.2-1.3</t>
  </si>
  <si>
    <t>3-10</t>
  </si>
  <si>
    <t>limestone - calcitic</t>
  </si>
  <si>
    <t>limestone - dolomitic</t>
  </si>
  <si>
    <t>10</t>
  </si>
  <si>
    <t>25</t>
  </si>
  <si>
    <t>38</t>
  </si>
  <si>
    <t>potassium sulfate</t>
  </si>
  <si>
    <t>50</t>
  </si>
  <si>
    <t>rock phosphate</t>
  </si>
  <si>
    <t>3</t>
  </si>
  <si>
    <t>sul-po-mag</t>
  </si>
  <si>
    <t>wood ash</t>
  </si>
  <si>
    <t xml:space="preserve">manure </t>
  </si>
  <si>
    <t>compost (average)</t>
  </si>
  <si>
    <t>Nutrient Content (%) of Amendments</t>
  </si>
  <si>
    <t xml:space="preserve">*Information compiled from 'Managing Nitrogen on Organic Farms' by Vern Grubinger http://www.uvm.edu/vtvegandberry/factsheets/managingNorganic.html  </t>
  </si>
  <si>
    <t xml:space="preserve">      </t>
  </si>
  <si>
    <t>"Fair" alfalfa, cowpeas or hairy vetch (20-60% stand)</t>
  </si>
  <si>
    <t>"Fair" clover or field peas (20-60% stand)</t>
  </si>
  <si>
    <t>"Good" clover or field peas (60-100% stand)</t>
  </si>
  <si>
    <t>"Good" alfalfa, cow peas or hairy vetch (60-100% stand)</t>
  </si>
  <si>
    <t>otherwise credit 2 lbs N/ton compost</t>
  </si>
  <si>
    <t>cheep-cheep</t>
  </si>
  <si>
    <t>owned</t>
  </si>
  <si>
    <t>leased</t>
  </si>
  <si>
    <t>This field is:</t>
  </si>
  <si>
    <t>Year first used</t>
  </si>
  <si>
    <t>see table 14 from Nutrient recommendations for field crops in Vermont</t>
  </si>
  <si>
    <t>soil texture</t>
  </si>
  <si>
    <t>sandy</t>
  </si>
  <si>
    <t>clay</t>
  </si>
  <si>
    <t>loam</t>
  </si>
  <si>
    <t>last soil test</t>
  </si>
  <si>
    <t>amt used/yr</t>
  </si>
  <si>
    <t>20__</t>
  </si>
  <si>
    <t>Crop(s)</t>
  </si>
  <si>
    <t>Farm Information</t>
  </si>
  <si>
    <t>Farm Name</t>
  </si>
  <si>
    <t>Plan Date</t>
  </si>
  <si>
    <t>Crop Year</t>
  </si>
  <si>
    <t>Producer/Farm Manager</t>
  </si>
  <si>
    <t>Nutrient Management Planner</t>
  </si>
  <si>
    <t>Farm Address</t>
  </si>
  <si>
    <t>Phone No.</t>
  </si>
  <si>
    <t>Email</t>
  </si>
  <si>
    <t>County</t>
  </si>
  <si>
    <t>Years Farming</t>
  </si>
  <si>
    <t>Describe your farm and plans for the future</t>
  </si>
  <si>
    <t xml:space="preserve">Type of Information </t>
  </si>
  <si>
    <t>Acres Owned Total</t>
  </si>
  <si>
    <t>Acres Rented Total</t>
  </si>
  <si>
    <t>Tillable Cropland</t>
  </si>
  <si>
    <t>Irrigated Cropland</t>
  </si>
  <si>
    <t>Permanent Grasslands</t>
  </si>
  <si>
    <t>Woodland</t>
  </si>
  <si>
    <t>Typical Rotation (crops and sequence)</t>
  </si>
  <si>
    <t>Describe your irrigation system (type of system, avg. application amount, avg. rate of application (in/hr), basis for deciding on when to irrigate?  Is fertilizer  applied with the irrigation system?</t>
  </si>
  <si>
    <t>Tillage Operation/Equipment (Type, timing, depth, and sequence) if applicable</t>
  </si>
  <si>
    <t xml:space="preserve">Organic Amendments </t>
  </si>
  <si>
    <t xml:space="preserve">Quantity? </t>
  </si>
  <si>
    <t>Solid Manure</t>
  </si>
  <si>
    <t>no</t>
  </si>
  <si>
    <t>Liquid Manure</t>
  </si>
  <si>
    <t>Compost Manure</t>
  </si>
  <si>
    <t>yes</t>
  </si>
  <si>
    <t>Other:</t>
  </si>
  <si>
    <t>Manure Information</t>
  </si>
  <si>
    <t>Watershed Information</t>
  </si>
  <si>
    <t>Timing of Application</t>
  </si>
  <si>
    <t>spring</t>
  </si>
  <si>
    <t>Watershed</t>
  </si>
  <si>
    <t>Time to Incorporation</t>
  </si>
  <si>
    <t>fall</t>
  </si>
  <si>
    <t>Hydrologic Unit &amp; Code</t>
  </si>
  <si>
    <t>Hours</t>
  </si>
  <si>
    <t>Days</t>
  </si>
  <si>
    <t>Impaired Watershed</t>
  </si>
  <si>
    <t>Spreader Size (gallons or cubic feet)</t>
  </si>
  <si>
    <t>Impairment Reason</t>
  </si>
  <si>
    <t xml:space="preserve">Do you import organic amendments? </t>
  </si>
  <si>
    <t>Field Information</t>
  </si>
  <si>
    <t>RUSLE2 Soil Loss as Planned</t>
  </si>
  <si>
    <t>Soil Test P Range</t>
  </si>
  <si>
    <t>P Index as Planned</t>
  </si>
  <si>
    <t>Nitrate Leaching Potential</t>
  </si>
  <si>
    <t>Need N-or P-based management</t>
  </si>
  <si>
    <t>Residue</t>
  </si>
  <si>
    <t>Sandy</t>
  </si>
  <si>
    <t>Buffer</t>
  </si>
  <si>
    <t>Crop Need (lbs/acre)</t>
  </si>
  <si>
    <t>high</t>
  </si>
  <si>
    <t>.</t>
  </si>
  <si>
    <t>Other (HydrGrp D, Non-clay)</t>
  </si>
  <si>
    <t>Other (HydrGrp D, Clay)</t>
  </si>
  <si>
    <t>Other (HydrGrp C, Non-clay)</t>
  </si>
  <si>
    <t>Other (HydrGrp C, Clay)</t>
  </si>
  <si>
    <t>Other (HydrGrp B, Non-clay)</t>
  </si>
  <si>
    <t>Other (HydrGrp B, Clay)</t>
  </si>
  <si>
    <t>Other (HydrGrp A, Non-clay)</t>
  </si>
  <si>
    <t>Other (HydrGrp A, Clay)</t>
  </si>
  <si>
    <t>Windsor    (A)</t>
  </si>
  <si>
    <t>Wilmington    (D)</t>
  </si>
  <si>
    <t>Warwick    (A)</t>
  </si>
  <si>
    <t>Wappinger    (B)</t>
  </si>
  <si>
    <t>Walpole    (C)</t>
  </si>
  <si>
    <t>Vergennes variant    (D)</t>
  </si>
  <si>
    <t>Woodstock    (D)</t>
  </si>
  <si>
    <t>Vergennes    (D)</t>
  </si>
  <si>
    <t>Winooski    (B)</t>
  </si>
  <si>
    <t>Tunbridge    (C)</t>
  </si>
  <si>
    <t>Tisbury    (B)</t>
  </si>
  <si>
    <t>Whatley    (D)</t>
  </si>
  <si>
    <t>Tioga    (B)</t>
  </si>
  <si>
    <t>Westbury    (C)</t>
  </si>
  <si>
    <t>Teel    (B)</t>
  </si>
  <si>
    <t>Wareham    (C)</t>
  </si>
  <si>
    <t>Taconic    (D)</t>
  </si>
  <si>
    <t>Sunapee    (B)</t>
  </si>
  <si>
    <t>Wallkill    (D)</t>
  </si>
  <si>
    <t>Sudbury    (B)</t>
  </si>
  <si>
    <t>Stratton    (D)</t>
  </si>
  <si>
    <t>Stockbridge    (C)</t>
  </si>
  <si>
    <t>Sheepscot    (B)</t>
  </si>
  <si>
    <t>Swanton    (D)</t>
  </si>
  <si>
    <t>Scarboro    (D)</t>
  </si>
  <si>
    <t>Stowe    (C)</t>
  </si>
  <si>
    <t>Saco    (D)</t>
  </si>
  <si>
    <t>Rippowam    (C)</t>
  </si>
  <si>
    <t>Stetson    (A)</t>
  </si>
  <si>
    <t>Ricker    (D)</t>
  </si>
  <si>
    <t>St. Albans    (B)</t>
  </si>
  <si>
    <t>Worden    (C)</t>
  </si>
  <si>
    <t>Raynham variant    (C)</t>
  </si>
  <si>
    <t>Raynham    (C)</t>
  </si>
  <si>
    <t>Scantic variant    (D)</t>
  </si>
  <si>
    <t>Wonsqueak    (D)</t>
  </si>
  <si>
    <t>Rawsonville    (C)</t>
  </si>
  <si>
    <t>Scantic    (D)</t>
  </si>
  <si>
    <t>Quonset    (A)</t>
  </si>
  <si>
    <t>Salmon variant    (C)</t>
  </si>
  <si>
    <t>Pootatuck    (B)</t>
  </si>
  <si>
    <t>Salmon    (B)</t>
  </si>
  <si>
    <t>Pittstown    (C)</t>
  </si>
  <si>
    <t>Rumney variant    (C)</t>
  </si>
  <si>
    <t>Pittsfield    (B)</t>
  </si>
  <si>
    <t>Rumney    (C)</t>
  </si>
  <si>
    <t>Pinnebog    (D)</t>
  </si>
  <si>
    <t>Peru    (C)</t>
  </si>
  <si>
    <t>Weider    (B)</t>
  </si>
  <si>
    <t>Vershire    (C)</t>
  </si>
  <si>
    <t>Peacham    (D)</t>
  </si>
  <si>
    <t>Podunk variant    (B)</t>
  </si>
  <si>
    <t>Unadilla    (B)</t>
  </si>
  <si>
    <t>Paxton    (C)</t>
  </si>
  <si>
    <t>Waitsfield    (B)</t>
  </si>
  <si>
    <t>Podunk    (B)</t>
  </si>
  <si>
    <t>Pawling    (B)</t>
  </si>
  <si>
    <t>Teago    (A)</t>
  </si>
  <si>
    <t>Occum    (B)</t>
  </si>
  <si>
    <t>Ninigret    (B)</t>
  </si>
  <si>
    <t>Panton    (D)</t>
  </si>
  <si>
    <t>Nellis    (B)</t>
  </si>
  <si>
    <t>Palatine    (C)</t>
  </si>
  <si>
    <t>Skerry    (C)</t>
  </si>
  <si>
    <t>Mundal    (C)</t>
  </si>
  <si>
    <t>Swanville    (C)</t>
  </si>
  <si>
    <t>Ondawa variant    (B)</t>
  </si>
  <si>
    <t>Shelburne    (C)</t>
  </si>
  <si>
    <t>Monadnock    (B)</t>
  </si>
  <si>
    <t>Sunny    (C)</t>
  </si>
  <si>
    <t>Ondawa    (B)</t>
  </si>
  <si>
    <t>Middlebury    (B)</t>
  </si>
  <si>
    <t>Sunday    (A)</t>
  </si>
  <si>
    <t>Massena    (C)</t>
  </si>
  <si>
    <t>Nassau    (D)</t>
  </si>
  <si>
    <t>Marlow    (C)</t>
  </si>
  <si>
    <t>Munson    (D)</t>
  </si>
  <si>
    <t>Mansfield    (D)</t>
  </si>
  <si>
    <t>Sisk    (C)</t>
  </si>
  <si>
    <t>Muck and peat    (D)</t>
  </si>
  <si>
    <t>Macomber    (C)</t>
  </si>
  <si>
    <t>Searsport    (D)</t>
  </si>
  <si>
    <t>Missisquoi    (A)</t>
  </si>
  <si>
    <t>Lyons    (D)</t>
  </si>
  <si>
    <t>Melrose    (C)</t>
  </si>
  <si>
    <t>Lyme    (C)</t>
  </si>
  <si>
    <t>Lyman    (D)</t>
  </si>
  <si>
    <t>Londonderry    (D)</t>
  </si>
  <si>
    <t>Pondicherry    (D)</t>
  </si>
  <si>
    <t>Livingston    (D)</t>
  </si>
  <si>
    <t>Pomfret    (A)</t>
  </si>
  <si>
    <t>Linwood    (D)</t>
  </si>
  <si>
    <t>Lordstown    (C)</t>
  </si>
  <si>
    <t>Limerick variant    (C)</t>
  </si>
  <si>
    <t>Rifle    (D)</t>
  </si>
  <si>
    <t>Limerick    (C)</t>
  </si>
  <si>
    <t>Kingsbury    (D)</t>
  </si>
  <si>
    <t>Killington    (D)</t>
  </si>
  <si>
    <t>Potsdam    (C)</t>
  </si>
  <si>
    <t>Hubbardton    (D)</t>
  </si>
  <si>
    <t>Kendaia    (C)</t>
  </si>
  <si>
    <t>Houghtonville    (B)</t>
  </si>
  <si>
    <t>Kars    (A)</t>
  </si>
  <si>
    <t>Nicholville    (B)</t>
  </si>
  <si>
    <t>Hogback    (D)</t>
  </si>
  <si>
    <t>Hinesburg    (C)</t>
  </si>
  <si>
    <t>Hinckley    (A)</t>
  </si>
  <si>
    <t>Hartland    (B)</t>
  </si>
  <si>
    <t>Hero    (B)</t>
  </si>
  <si>
    <t>Hadley    (B)</t>
  </si>
  <si>
    <t>Groton    (A)</t>
  </si>
  <si>
    <t>Markey    (D)</t>
  </si>
  <si>
    <t>Hamlin    (B)</t>
  </si>
  <si>
    <t>Glover    (D)</t>
  </si>
  <si>
    <t>Georgia    (C)</t>
  </si>
  <si>
    <t>Glebe    (C)</t>
  </si>
  <si>
    <t>Farmington variant    (C)</t>
  </si>
  <si>
    <t>Lupton    (D)</t>
  </si>
  <si>
    <t>Farmington    (D)</t>
  </si>
  <si>
    <t>Galway    (C)</t>
  </si>
  <si>
    <t>Machias    (B)</t>
  </si>
  <si>
    <t>Enosburg    (C)</t>
  </si>
  <si>
    <t>Galoo    (D)</t>
  </si>
  <si>
    <t>Elmwood variant    (C)</t>
  </si>
  <si>
    <t>Fredon    (C)</t>
  </si>
  <si>
    <t>Elmwood    (C)</t>
  </si>
  <si>
    <t>Eldridge    (C)</t>
  </si>
  <si>
    <t>Dutchess    (B)</t>
  </si>
  <si>
    <t>Lamoine    (D)</t>
  </si>
  <si>
    <t>Duane    (B)</t>
  </si>
  <si>
    <t>Hitchcock    (B)</t>
  </si>
  <si>
    <t>Elvers    (D)</t>
  </si>
  <si>
    <t>Deerfield    (B)</t>
  </si>
  <si>
    <t>Elmridge    (C)</t>
  </si>
  <si>
    <t>Covington    (D)</t>
  </si>
  <si>
    <t>Copake    (B)</t>
  </si>
  <si>
    <t>Grange    (C)</t>
  </si>
  <si>
    <t>Duxbury    (B)</t>
  </si>
  <si>
    <t>Colton    (A)</t>
  </si>
  <si>
    <t>Carlisle    (D)</t>
  </si>
  <si>
    <t>Canandaigua    (D)</t>
  </si>
  <si>
    <t>Fullam    (C)</t>
  </si>
  <si>
    <t>Calais    (C)</t>
  </si>
  <si>
    <t>Cabot    (D)</t>
  </si>
  <si>
    <t>Dummerston    (B)</t>
  </si>
  <si>
    <t>Castile    (B)</t>
  </si>
  <si>
    <t>Buxton    (D)</t>
  </si>
  <si>
    <t>Croghan    (B)</t>
  </si>
  <si>
    <t>Buckland    (C)</t>
  </si>
  <si>
    <t>Merrimac    (A)</t>
  </si>
  <si>
    <t>Birdsall    (D)</t>
  </si>
  <si>
    <t>Colonel    (C)</t>
  </si>
  <si>
    <t>Binghamville    (C)</t>
  </si>
  <si>
    <t>Brayton    (D)</t>
  </si>
  <si>
    <t>Berkshire    (B)</t>
  </si>
  <si>
    <t>Bomoseen    (C)</t>
  </si>
  <si>
    <t>Benson    (D)</t>
  </si>
  <si>
    <t>Bucksport    (D)</t>
  </si>
  <si>
    <t>Belgrade    (B)</t>
  </si>
  <si>
    <t>Boothbay    (C)</t>
  </si>
  <si>
    <t>Balch    (D)</t>
  </si>
  <si>
    <t>Colrain    (B)</t>
  </si>
  <si>
    <t>Au Gres    (B)</t>
  </si>
  <si>
    <t>Allagash    (B)</t>
  </si>
  <si>
    <t>Amenia    (C)</t>
  </si>
  <si>
    <t>Adamant    (C)</t>
  </si>
  <si>
    <t>Agawam    (B)</t>
  </si>
  <si>
    <t>Adrian    (D)</t>
  </si>
  <si>
    <t>Adams variant    (A)</t>
  </si>
  <si>
    <t>Adams    (A)</t>
  </si>
  <si>
    <t>NE</t>
  </si>
  <si>
    <t>NCent</t>
  </si>
  <si>
    <t>NW</t>
  </si>
  <si>
    <t>SE</t>
  </si>
  <si>
    <t>SW</t>
  </si>
  <si>
    <t>Non-clay</t>
  </si>
  <si>
    <t>l</t>
  </si>
  <si>
    <t>Clay</t>
  </si>
  <si>
    <t>c</t>
  </si>
  <si>
    <t>fsl</t>
  </si>
  <si>
    <t>Organic</t>
  </si>
  <si>
    <t>m</t>
  </si>
  <si>
    <t>vfsl</t>
  </si>
  <si>
    <t>lfs</t>
  </si>
  <si>
    <t>sil</t>
  </si>
  <si>
    <t>fs</t>
  </si>
  <si>
    <t>Roundabout    (C)</t>
  </si>
  <si>
    <t>p</t>
  </si>
  <si>
    <t>sl</t>
  </si>
  <si>
    <t>sic</t>
  </si>
  <si>
    <t>Nasmith    (C)</t>
  </si>
  <si>
    <t>mp</t>
  </si>
  <si>
    <t>Moosilauke    (C)</t>
  </si>
  <si>
    <t>ls</t>
  </si>
  <si>
    <t>Medomak    (D)</t>
  </si>
  <si>
    <t>Madawaska    (B)</t>
  </si>
  <si>
    <t>Lovewell    (B)</t>
  </si>
  <si>
    <t>Irasburg    (C)</t>
  </si>
  <si>
    <t>Fryeburg    (B)</t>
  </si>
  <si>
    <t>Dixfield    (C)</t>
  </si>
  <si>
    <t>Cornish    (C)</t>
  </si>
  <si>
    <t>Charles    (C)</t>
  </si>
  <si>
    <t>Carbondale    (D)</t>
  </si>
  <si>
    <t>Biddeford    (D)</t>
  </si>
  <si>
    <t>s</t>
  </si>
  <si>
    <t>Texture group</t>
  </si>
  <si>
    <t>Surf. texture</t>
  </si>
  <si>
    <t>HSG</t>
  </si>
  <si>
    <t>Soil series</t>
  </si>
  <si>
    <t>Hydrologic Soil Groups, sorted by soil series</t>
  </si>
  <si>
    <t>43.38 / 72.60</t>
  </si>
  <si>
    <t>Cavendish / Windsor</t>
  </si>
  <si>
    <t>43.85 / 72.80</t>
  </si>
  <si>
    <t>Rochester / Windsor</t>
  </si>
  <si>
    <t>42.77 / 72.52</t>
  </si>
  <si>
    <t>Vernon / Windham</t>
  </si>
  <si>
    <t>44.20 / 72.57</t>
  </si>
  <si>
    <t>Montpelier / Washington</t>
  </si>
  <si>
    <t>44.32 / 72.75</t>
  </si>
  <si>
    <t>Waterbury / Washington</t>
  </si>
  <si>
    <t>43.60 / 72.97</t>
  </si>
  <si>
    <t>Rutland / Rutland</t>
  </si>
  <si>
    <t>44.93 / 72.20</t>
  </si>
  <si>
    <t>Newport / Orleans</t>
  </si>
  <si>
    <t>43.98 / 72.45</t>
  </si>
  <si>
    <t>Chelsea / Orange</t>
  </si>
  <si>
    <t>44.53 / 72.82</t>
  </si>
  <si>
    <t>Mt Mansfield / Lamoille</t>
  </si>
  <si>
    <t>44.92 / 72.82</t>
  </si>
  <si>
    <t>Enosburg Falls / Franklin</t>
  </si>
  <si>
    <t>44.47 / 73.15</t>
  </si>
  <si>
    <t>Burlington / Chittenden</t>
  </si>
  <si>
    <t>44.42 / 72.02</t>
  </si>
  <si>
    <t>St Johnsbury / Caledonia</t>
  </si>
  <si>
    <t>44.65 / 71.98</t>
  </si>
  <si>
    <t>W Burke / Caledonia</t>
  </si>
  <si>
    <t>42.75 / 72.93</t>
  </si>
  <si>
    <t>Readsboro / Bennington</t>
  </si>
  <si>
    <t>43.23 / 73.08</t>
  </si>
  <si>
    <t>Dorset / Bennington</t>
  </si>
  <si>
    <t>43.95 / 73.22</t>
  </si>
  <si>
    <t>Cornwall / Addison</t>
  </si>
  <si>
    <t>GS_RO</t>
  </si>
  <si>
    <t>SWEQ</t>
  </si>
  <si>
    <t>Lat</t>
  </si>
  <si>
    <t>Location</t>
  </si>
  <si>
    <t>Snowmelt runoff factor</t>
  </si>
  <si>
    <t>Region</t>
  </si>
  <si>
    <t>Adjusted data (to reduce diff. between highest and lowest</t>
  </si>
  <si>
    <t>Reduction factor</t>
  </si>
  <si>
    <t>Min (used in factor to reduce diff between highest and lowest)</t>
  </si>
  <si>
    <t>Max (used in factor to reduce diff between highest and lowest)</t>
  </si>
  <si>
    <t>Original data</t>
  </si>
  <si>
    <t>Elevation, ft</t>
  </si>
  <si>
    <t>March snow water equivalent, in</t>
  </si>
  <si>
    <t>NE (Orange, Orleans, Essex, Caledonia)</t>
  </si>
  <si>
    <t>NCent (Washington, Lamoille)</t>
  </si>
  <si>
    <t>NW (Addison, Chittenden, Franklin, Grand Isle)</t>
  </si>
  <si>
    <t>SE (Windham, Windsor)</t>
  </si>
  <si>
    <t>SW (Bennington, Rutland)</t>
  </si>
  <si>
    <t>&gt; 1000 </t>
  </si>
  <si>
    <t>600 - 1000 </t>
  </si>
  <si>
    <t>&lt; 600 </t>
  </si>
  <si>
    <t>Growing season runoff, in/yr</t>
  </si>
  <si>
    <t>Other</t>
  </si>
  <si>
    <t>Misc. water / sed. diversion  (0.1)</t>
  </si>
  <si>
    <t>Water &amp; sed. control basin   (0.2)</t>
  </si>
  <si>
    <t>Pond   (0.05)</t>
  </si>
  <si>
    <t>Level terrace   (0)</t>
  </si>
  <si>
    <t>None</t>
  </si>
  <si>
    <t>Sediment trap factor (MN Table 2)</t>
  </si>
  <si>
    <t>Veg - High</t>
  </si>
  <si>
    <t>Veg - Med</t>
  </si>
  <si>
    <t>Veg - Low</t>
  </si>
  <si>
    <t>Apple</t>
  </si>
  <si>
    <t>Runoff adj factor, hydr grp D</t>
  </si>
  <si>
    <t>Runoff adj factor, hydr grp C</t>
  </si>
  <si>
    <t>Runoff adj factor, hydr grp B</t>
  </si>
  <si>
    <t>Runoff adj factor, hydr grp A</t>
  </si>
  <si>
    <t>TOTAL distance must be &gt;= Buffer width</t>
  </si>
  <si>
    <t>Cover for this vegetation type MUST be &gt; 20%</t>
  </si>
  <si>
    <t>Conflict between fertilizer rate and method/timing.</t>
  </si>
  <si>
    <t>Conflict between manure (2nd) rate and method/timing.</t>
  </si>
  <si>
    <t>Conflict between manure (1st) rate and method/timing.</t>
  </si>
  <si>
    <t>Error Messages</t>
  </si>
  <si>
    <t>Woodland (50-75% cover, not heavily grazed)</t>
  </si>
  <si>
    <t>CRP, other ungrazed, perm. veg.</t>
  </si>
  <si>
    <t>Error in distance to stream</t>
  </si>
  <si>
    <t>Pasture (50-75% cover, not heavily grazed)</t>
  </si>
  <si>
    <t>Error in crop/cover</t>
  </si>
  <si>
    <t>Error in fertilizer</t>
  </si>
  <si>
    <t>Error in Manure 2</t>
  </si>
  <si>
    <t>Alfalfa &amp; other forages</t>
  </si>
  <si>
    <t>Small grains</t>
  </si>
  <si>
    <t>Error in Manure 1</t>
  </si>
  <si>
    <t>Corn &amp; other row crops</t>
  </si>
  <si>
    <t>Uptake lb P2O5/ac</t>
  </si>
  <si>
    <t>Table 5: Vegetation type</t>
  </si>
  <si>
    <t>Runoff DRP (soil), mg/L:, adj. STP</t>
  </si>
  <si>
    <t>&gt; 20 %</t>
  </si>
  <si>
    <t>Runoff DRP (soil), mg/L:, unadj. STP</t>
  </si>
  <si>
    <t>0 - 20  %</t>
  </si>
  <si>
    <t>Fert P conc. (a la MN), adj for method/timing &amp; Al</t>
  </si>
  <si>
    <t>&lt; 5 %</t>
  </si>
  <si>
    <t>Manure2 P RO conc. (a la MN), adj for method/timing &amp; Al</t>
  </si>
  <si>
    <t>Table 4: Surface cover %</t>
  </si>
  <si>
    <t>Manure1 P RO conc. (a la MN), adj for method/timing &amp; Al</t>
  </si>
  <si>
    <t>Manure P Availability coefficient</t>
  </si>
  <si>
    <t>Hydr Soil Grp factor</t>
  </si>
  <si>
    <t>Effective runoff for fert. (million lb/ac)</t>
  </si>
  <si>
    <t>BAP/TP calc. from added TP</t>
  </si>
  <si>
    <t>BAP/TP calc. from adj. STP</t>
  </si>
  <si>
    <t>TP increment (added fertilizer)</t>
  </si>
  <si>
    <t>STP increment (added fertilizer)</t>
  </si>
  <si>
    <t>Fert after uptake</t>
  </si>
  <si>
    <t>Fert. method/timing factor</t>
  </si>
  <si>
    <t>Fertilizer Al factor</t>
  </si>
  <si>
    <t>Seasonal fertilizer runoff factor</t>
  </si>
  <si>
    <t>HSG factor</t>
  </si>
  <si>
    <t>Table 3: Soil hydrologic group</t>
  </si>
  <si>
    <t>Effective runoff for manure2 (million lb/ac)</t>
  </si>
  <si>
    <t>Effective runoff for manure1 (million lb/ac)</t>
  </si>
  <si>
    <t>TP increment (added manure2)</t>
  </si>
  <si>
    <t>STP increment (added manure2)</t>
  </si>
  <si>
    <t>Manure 2 after uptake</t>
  </si>
  <si>
    <t>Manure factor  2</t>
  </si>
  <si>
    <t>Manure time to incorp. factor  2</t>
  </si>
  <si>
    <t>Manure method factor  2</t>
  </si>
  <si>
    <t>Manure time factor  2</t>
  </si>
  <si>
    <t>Manure Al factor  2</t>
  </si>
  <si>
    <t>VLookup test</t>
  </si>
  <si>
    <t>Seasonal manure runoff factor 2</t>
  </si>
  <si>
    <t>TP increment (added manure1)</t>
  </si>
  <si>
    <t>STP increment (added manure1)</t>
  </si>
  <si>
    <t>Manure 1 after uptake</t>
  </si>
  <si>
    <t>Manure factor  1</t>
  </si>
  <si>
    <t>lb</t>
  </si>
  <si>
    <t>l gal water =</t>
  </si>
  <si>
    <t>Manure time to incorp. factor  1</t>
  </si>
  <si>
    <t>Manure method factor 1</t>
  </si>
  <si>
    <t>mg/L</t>
  </si>
  <si>
    <t>1 lb/million lb water=</t>
  </si>
  <si>
    <t>Manure time factor 1</t>
  </si>
  <si>
    <t>Manure Al factor 1</t>
  </si>
  <si>
    <t>Seasonal manure runoff factor 1</t>
  </si>
  <si>
    <t>Crop uptake P2O5</t>
  </si>
  <si>
    <t>Inj. or subsurf. banded   (0)</t>
  </si>
  <si>
    <t>Basic aluminum factor:</t>
  </si>
  <si>
    <t>Incorp. / disk         (0.40)</t>
  </si>
  <si>
    <t>Adjusted soil test P (added M&amp;F):</t>
  </si>
  <si>
    <t>Incorp. / chisel      (0.25)</t>
  </si>
  <si>
    <t>RDR for manure</t>
  </si>
  <si>
    <t>Incorp. / moldboard    (0.05)</t>
  </si>
  <si>
    <t>Runoff Delivery Ratio</t>
  </si>
  <si>
    <t>Surf. appl. April      (0.80)</t>
  </si>
  <si>
    <t>Veg. type</t>
  </si>
  <si>
    <t>Surf. appl. Dec 15-March  (1.50)</t>
  </si>
  <si>
    <t>Surface cover %</t>
  </si>
  <si>
    <t>Surf. appl. Oct.-Dec 15   (1.00)</t>
  </si>
  <si>
    <t>Hydr. group</t>
  </si>
  <si>
    <t>Surf. appl. May-Sept.    (0.70)</t>
  </si>
  <si>
    <t>None applied</t>
  </si>
  <si>
    <t>Table 2: Fertilizer application method/timing</t>
  </si>
  <si>
    <t xml:space="preserve">Snowmelt RO, million lb water/ac </t>
  </si>
  <si>
    <t xml:space="preserve">Growing season RO, million lb water/ac </t>
  </si>
  <si>
    <t>Pathway 2 intermediate calculations</t>
  </si>
  <si>
    <t>Not incorporated</t>
  </si>
  <si>
    <t>8-21 days</t>
  </si>
  <si>
    <t>4-7 days</t>
  </si>
  <si>
    <t>2 - 4 days</t>
  </si>
  <si>
    <t xml:space="preserve">Calc. soil BAP/TP = </t>
  </si>
  <si>
    <t>&lt; 2 days</t>
  </si>
  <si>
    <t>TP availability factor</t>
  </si>
  <si>
    <t>Risk of P loss</t>
  </si>
  <si>
    <t>Table 3: Time to incorporation</t>
  </si>
  <si>
    <t>Sediment delivery ratio</t>
  </si>
  <si>
    <t>Sediment trap factor</t>
  </si>
  <si>
    <t>Disk</t>
  </si>
  <si>
    <t>"Residual" distance effect</t>
  </si>
  <si>
    <t>Chisel</t>
  </si>
  <si>
    <t>Dist. factor @buffer distance</t>
  </si>
  <si>
    <t>Moldboard</t>
  </si>
  <si>
    <t>Dist. factor @total distance</t>
  </si>
  <si>
    <t>Inject / subsurf. band</t>
  </si>
  <si>
    <t>Dist. factor (beyond buffer)</t>
  </si>
  <si>
    <t>Table 2: Manure appl method</t>
  </si>
  <si>
    <t>Buffer factor</t>
  </si>
  <si>
    <t>million lb soil/ac = tons/ac*2000/1,000,000</t>
  </si>
  <si>
    <t>April</t>
  </si>
  <si>
    <t>Pathway 1 intermediate calculations</t>
  </si>
  <si>
    <t>Dec 15 - Mar</t>
  </si>
  <si>
    <t>Oct - Dec 15</t>
  </si>
  <si>
    <t>Diss. soil P loss, lb/ac</t>
  </si>
  <si>
    <t>May - Sept</t>
  </si>
  <si>
    <t>Diss. fert. P loss, lb/ac</t>
  </si>
  <si>
    <t>Table 1: Manure application timing</t>
  </si>
  <si>
    <t>Diss. manure P loss, lb/ac</t>
  </si>
  <si>
    <t>Sediment (soil) P loss, lb/ac</t>
  </si>
  <si>
    <t>Manure particulate P loss, lb P/ac:</t>
  </si>
  <si>
    <t>GS adjustment factor</t>
  </si>
  <si>
    <t>Soil TP concentration, ppm</t>
  </si>
  <si>
    <t>Max fertilizer runoff factor:</t>
  </si>
  <si>
    <t>Runoff delivery factor (to stream)</t>
  </si>
  <si>
    <t>Max manure runoff factor:</t>
  </si>
  <si>
    <t>Runoff adj. factor (for soil type, veg. cover)</t>
  </si>
  <si>
    <t>Well water to DW factor:</t>
  </si>
  <si>
    <t>Soil hydrologic group</t>
  </si>
  <si>
    <t>DRP Intercept (WW):</t>
  </si>
  <si>
    <t>Sed. delivery factor (to stream)</t>
  </si>
  <si>
    <t>DRP Slope (WW):</t>
  </si>
  <si>
    <t>Dist. (excl. buffer) to stream, ft</t>
  </si>
  <si>
    <t>Fert. P loss, lb/ac (field edge)</t>
  </si>
  <si>
    <t>Max TP availability factor:</t>
  </si>
  <si>
    <t>Manure P loss, lb/ac (field edge)</t>
  </si>
  <si>
    <t>TP maximum</t>
  </si>
  <si>
    <t>Runoff DRP, mg/L:</t>
  </si>
  <si>
    <t>TP Intercept:</t>
  </si>
  <si>
    <t>Snowmelt, water equivalent, in.</t>
  </si>
  <si>
    <t>TP Slope:</t>
  </si>
  <si>
    <t>Base GS runoff, in.</t>
  </si>
  <si>
    <t>Sediment trap structure or other erosion control</t>
  </si>
  <si>
    <t>Manure particulate loss factor:</t>
  </si>
  <si>
    <t>Manure spreading setback, feet</t>
  </si>
  <si>
    <t>Vegetated buffer width, feet</t>
  </si>
  <si>
    <t>TOTAL distance to stream, feet</t>
  </si>
  <si>
    <t>Crop / Vegetation type</t>
  </si>
  <si>
    <t>Soil type or series (&amp; HydrGrp)</t>
  </si>
  <si>
    <t>BAP regr.</t>
  </si>
  <si>
    <t>TP regr.</t>
  </si>
  <si>
    <t>Erosion rate (RUSLE, tons/ac)</t>
  </si>
  <si>
    <t>Fertilizer method/timing</t>
  </si>
  <si>
    <t>NO</t>
  </si>
  <si>
    <t>Fertilizer rate, lb P2O5/ac</t>
  </si>
  <si>
    <t>YES</t>
  </si>
  <si>
    <t>Very High</t>
  </si>
  <si>
    <t>High</t>
  </si>
  <si>
    <t>Medium</t>
  </si>
  <si>
    <t>Low</t>
  </si>
  <si>
    <t>P Index Interpretations</t>
  </si>
  <si>
    <t>Reactive soil aluminum, ppm</t>
  </si>
  <si>
    <t>Soil test P, ppm (Mod. Morgan's)</t>
  </si>
  <si>
    <t>Elevation zone, feet</t>
  </si>
  <si>
    <t>Location (Vermont county)</t>
  </si>
  <si>
    <t xml:space="preserve">This cell (C8) MUST be kept blank (used in error message formatting) </t>
  </si>
  <si>
    <t>Pathway II:  Dissolved P in surface runoff</t>
  </si>
  <si>
    <t>Intermediate calculations and constants</t>
  </si>
  <si>
    <t>Line #</t>
  </si>
  <si>
    <t>Pathway I:  Sediment-bound P</t>
  </si>
  <si>
    <t>Interpretation:</t>
  </si>
  <si>
    <t>Pathway II scaling factor:</t>
  </si>
  <si>
    <t>P Index:</t>
  </si>
  <si>
    <t>Pathway I scaling factor:</t>
  </si>
  <si>
    <t>Hide columns B - D after use (Turn Sheet Protection ON)</t>
  </si>
  <si>
    <t>Error messages:</t>
  </si>
  <si>
    <t>VT P Index -- Version 5.3  2-9-2009</t>
  </si>
  <si>
    <t>Vegetation Type to Enter in Line 19</t>
  </si>
  <si>
    <t>Notes</t>
  </si>
  <si>
    <t>Apple, other orchard crops</t>
  </si>
  <si>
    <t>Assumes complete ground cover of sod around trees</t>
  </si>
  <si>
    <t>Pepper, green bell; spinach; cauliflower, broccoli; leek; lettuce; summer squash; greens; tomato; blueberry, strawberry</t>
  </si>
  <si>
    <t>Carrot, onion, sweet corn, beet, cabbage; raspberry</t>
  </si>
  <si>
    <t>Use this for other crops not in the list</t>
  </si>
  <si>
    <t>Parsnip, potato, winter squash; snap beans</t>
  </si>
  <si>
    <t>This row is used to create the field name refs in Row 3</t>
  </si>
  <si>
    <t xml:space="preserve">This row is used to create the tract&amp;field numbers in Row </t>
  </si>
  <si>
    <t>These rows are used to create the cell references to manure rates in the 100 field worksheets</t>
  </si>
  <si>
    <t>These 3 rows contain the estimated manure rates (Fall, Spr, Sum) from Field Inv</t>
  </si>
  <si>
    <t>Tract &amp; Field #</t>
  </si>
  <si>
    <t>x</t>
  </si>
  <si>
    <t>Tract &amp; field number</t>
  </si>
  <si>
    <t>P Index</t>
  </si>
  <si>
    <t>PI Interpretation</t>
  </si>
  <si>
    <t>RUSLE2</t>
  </si>
  <si>
    <t>Avail P</t>
  </si>
  <si>
    <t>Available P levels</t>
  </si>
  <si>
    <t>F</t>
  </si>
  <si>
    <t>&lt;= 2</t>
  </si>
  <si>
    <t>G</t>
  </si>
  <si>
    <t>&lt;= 4</t>
  </si>
  <si>
    <t>H</t>
  </si>
  <si>
    <t>&lt;= 8</t>
  </si>
  <si>
    <t>I</t>
  </si>
  <si>
    <t>&lt;= 20</t>
  </si>
  <si>
    <t>J</t>
  </si>
  <si>
    <t>&gt;20</t>
  </si>
  <si>
    <t>L</t>
  </si>
  <si>
    <t>M</t>
  </si>
  <si>
    <t>O</t>
  </si>
  <si>
    <t>Q</t>
  </si>
  <si>
    <t>R</t>
  </si>
  <si>
    <t>S</t>
  </si>
  <si>
    <t>T</t>
  </si>
  <si>
    <t>U</t>
  </si>
  <si>
    <t>V</t>
  </si>
  <si>
    <t>W</t>
  </si>
  <si>
    <t>X</t>
  </si>
  <si>
    <t>Y</t>
  </si>
  <si>
    <t>p CATEGORY</t>
  </si>
  <si>
    <t>Instructions for Vermont Phosphorus Index, Version 5.3 (February 9, 2009)</t>
  </si>
  <si>
    <t xml:space="preserve">The P Index spreadsheet produces four values after you have entered the data. </t>
  </si>
  <si>
    <t>Numerical value of the P Index</t>
  </si>
  <si>
    <r>
      <t xml:space="preserve">Interpretation category (Low, </t>
    </r>
    <r>
      <rPr>
        <b/>
        <sz val="10"/>
        <color indexed="18"/>
        <rFont val="Arial"/>
        <family val="2"/>
      </rPr>
      <t>Medium</t>
    </r>
    <r>
      <rPr>
        <b/>
        <sz val="10"/>
        <rFont val="Arial"/>
        <family val="2"/>
      </rPr>
      <t xml:space="preserve">, </t>
    </r>
    <r>
      <rPr>
        <b/>
        <sz val="10"/>
        <color indexed="53"/>
        <rFont val="Arial"/>
        <family val="2"/>
      </rPr>
      <t>High</t>
    </r>
    <r>
      <rPr>
        <b/>
        <sz val="10"/>
        <rFont val="Arial"/>
        <family val="2"/>
      </rPr>
      <t xml:space="preserve">, or </t>
    </r>
    <r>
      <rPr>
        <b/>
        <sz val="10"/>
        <color indexed="10"/>
        <rFont val="Arial"/>
        <family val="2"/>
      </rPr>
      <t>Very High</t>
    </r>
    <r>
      <rPr>
        <b/>
        <sz val="10"/>
        <rFont val="Arial"/>
        <family val="2"/>
      </rPr>
      <t>)</t>
    </r>
  </si>
  <si>
    <t>The portion of the P Index due to particulate (sediment-bound) phosphorus.</t>
  </si>
  <si>
    <t xml:space="preserve">The portion of the P Index due to dissolved phosphorus. </t>
  </si>
  <si>
    <t>The relative values of Sediment-bound P and Dissolved P can help guide the choice of practices needed to reduce a high P Index.</t>
  </si>
  <si>
    <t>Entering data into the P Index spreadsheet:</t>
  </si>
  <si>
    <t>Selecting data from a list:</t>
  </si>
  <si>
    <t>Some cells are restricted to data entered from a list (click on the arrow at the lower right corner of the cell to display a drop-down list and select a value). Any other value will produce an error message.</t>
  </si>
  <si>
    <t>Entering numerical values:</t>
  </si>
  <si>
    <t>Other cells can take any number value.</t>
  </si>
  <si>
    <t>Cell colors are only meant to group similar inputs together; they have no other significance to the program.</t>
  </si>
  <si>
    <t xml:space="preserve">Fifty columns are provided for data input. If you need room for more than 50 fields and want to copy existing data columns (beginning with column F; NOT columns A - E, which are fixed) to the right, be sure to copy all rows from 1 through 141 (rows 32 through 140 are hidden, but contain essential data). Besides the data entry and output cells, there are many spreadsheet lines which are hidden and protected. They contain constant values, and formulas for intermediate calculations. These must not be changed! </t>
  </si>
  <si>
    <t>Worksheet protection is turned on to prevent accidental modification of critical formulas and constants. If you find it necessary to turn off this protection temporarily, you may do so through the Tools menu. It is not password protected.</t>
  </si>
  <si>
    <t>Error messages may be displayed in the top row, when there is a logical conflict between two data items (for example, if line 7 has a manure incorporation method showing, and line 8 has "Not incorporated"). A P Index value will still be calculated, but the results are unpredictable; read the error message to find out where the conflict occurs and make correct entries.</t>
  </si>
  <si>
    <t>Line-by-line instructions</t>
  </si>
  <si>
    <t>Line # (these LINE numbers are NOT the same as Excel ROW numbers)</t>
  </si>
  <si>
    <t>Select the region of Vermont (based on counties). This value affects the growing season and snowmelt runoff volumes, which vary with annual and seasonal precepitation and temperature. (See Table 1 in Supplemental Data tab.)</t>
  </si>
  <si>
    <t>Select the elevation zone of the field (&lt; 600 ft, 600-1000 ft, or &gt; 1000 ft). Higher elevations have more precipitation, and therefore more runoff</t>
  </si>
  <si>
    <t>Enter the available phosphorus value from the most recent soil test report (parts per million P in Modified Morgan's extract).</t>
  </si>
  <si>
    <t>Enter the reactive aluminum value from the most recent soil test report (parts per million Al in Modified Morgan's extract). This value affects how much of added P in manure or fertilizer gets tightly bound in the soil, rather than appearing in runoff.</t>
  </si>
  <si>
    <t>Enter fertilizer application rate (lb P2O5 / acre).</t>
  </si>
  <si>
    <t>Select fertilizer application method and timing. See "Manure application" explanation above.</t>
  </si>
  <si>
    <t>Enter the estimated erosion rate (tons/acre/year). Use an erosion estimate for the specific year and crop, NOT for an average over the rotation, to match the annual information for manure and fertilizer application and crop inputs. If using RUSLE2, choose the "Sediment delivery" option, as the P Index requires soil leaving the edge of the field.</t>
  </si>
  <si>
    <t>Soil type (series) &amp; HSG</t>
  </si>
  <si>
    <t>Select the soil series from the list. This will automatically select the appropriate Hydrologic Soil Group (used in estimating runoff volume) and surface texture group (clay or non-clay, used in determining the influence of buffer width on sediment retention).</t>
  </si>
  <si>
    <t xml:space="preserve">Surface cover % </t>
  </si>
  <si>
    <t>Select the % surface cover. This value modifies the base runoff amount estimated from the location and elevation (vegetative cover traps water, reducing runoff). (See Table 2 in Supplemental Data tab.)</t>
  </si>
  <si>
    <t>Enter the total distance (in feet) between field edge and the nearest pond, stream, or water pathway (e.g. drainage ditch). This value is used to calculate a Sediment Delivery Ratio, which accounts for a reduction (maximum reduction is 60%, at about 300 feet) in eroded sediment as it is transported from field edge to receiving water body. See Figure 1 in Supplemental Data tab.</t>
  </si>
  <si>
    <t>Enter the width (in feet) of buffer between field edge and the nearest pond, stream, or water pathway (e.g. drainage ditch). The buffer must consist of perennial vegetation. (It may be harvested, but cannot have fertilizer or manure applied to it, except for initial establishment.) If there is concentrated flow (CF) across it, it is not  considered a buffer. This value is used to calculate a Sediment Delivery Ratio, which accounts for a reduction (maximum reduction is 60%, at about 300 feet) in eroded sediment as it is transported from field edge to receiving water body. See Figure 1 in Supplemental Data tab. If the distance is greater than 300 feet, just enter 300--anything greater will not affect the results.</t>
  </si>
  <si>
    <t>Enter the width (in feet) of manure spreading setback. This value has no effect on calculated P Index if manure aplication rate is zero.</t>
  </si>
  <si>
    <t>If any NRCS-defined sediment trap structures are present, select them here. These reduce sediment to a much greater degree than does a vegetated buffer. There is also a selection "Misc. water / sed. diversion", which can be used in unusual circumstances, such as topography that would likely trap virtually all of the eroded sediment leaving a field (for example, a very flat lower field between a sloping upper field and the stream).</t>
  </si>
  <si>
    <t>Select the crop or vegetation type. This value modifies the base runoff amount estimated from the location and elevation. Some combinations of crop and cover are not allowed and produce an error ("#NA"); for example, forages, pasture, and woodland must have &gt; 20 % cover. (See Table 2 in Supplemental Data tab.) Vegetable crops are described in more detail below.</t>
  </si>
  <si>
    <t xml:space="preserve">Total % N from label ("as-is" basis)       (% of product) </t>
  </si>
  <si>
    <t>Total % dry matter (% of product)</t>
  </si>
  <si>
    <t>Total % N on dry wt basis (% )</t>
  </si>
  <si>
    <t>PAN after full season (lb N per 100lb amendment "as-is" basis)</t>
  </si>
  <si>
    <t>Field or Section Name:</t>
  </si>
  <si>
    <t>Field or Section name</t>
  </si>
  <si>
    <t>sticky-crumbly(41-60% DM)</t>
  </si>
  <si>
    <t>Nutrient Management Workbook</t>
  </si>
  <si>
    <t>The Nutrient Management Workbook was created by:</t>
  </si>
  <si>
    <t>Dr. Heather Darby, Crops and Soils Specialist, University of Vermont Extension</t>
  </si>
  <si>
    <t>Joanne Yousten, Soil Conservationist, USDA Natural Resource Conservation Service</t>
  </si>
  <si>
    <t>Karen Hills, Crops and Soils Technician, University of Vermont Extension</t>
  </si>
  <si>
    <t>Amanda Gervais, Crops and Soils Technician, University of Vermont Extension</t>
  </si>
  <si>
    <t>Joel Tilley, PhD, Consultant</t>
  </si>
  <si>
    <t>Organic amend. 1 rate, lb P2O5/ac</t>
  </si>
  <si>
    <t>Organic amend. 2 rate, lb P2O5/ac</t>
  </si>
  <si>
    <t>Inorganic fert. rate, lb P2O5/ac</t>
  </si>
  <si>
    <t>Inorganic fert. method/timing</t>
  </si>
  <si>
    <t>Organic amend. 2 time to incorp.</t>
  </si>
  <si>
    <t>Organic amend. 2 applic. method</t>
  </si>
  <si>
    <t>Organic amend. 1 applic. method</t>
  </si>
  <si>
    <t>Organic amend. 1 time to incorp.</t>
  </si>
  <si>
    <t>Organic amend 1 applic time of yr</t>
  </si>
  <si>
    <t>Organic amend 2 applic time of yr</t>
  </si>
  <si>
    <t>Dairy manure</t>
  </si>
  <si>
    <t>Organic amendment P Availability coefficients</t>
  </si>
  <si>
    <t>chilean</t>
  </si>
  <si>
    <t>giroux's</t>
  </si>
  <si>
    <t>Kreher's</t>
  </si>
  <si>
    <t>pro-gro</t>
  </si>
  <si>
    <t>soy meal</t>
  </si>
  <si>
    <t>mustard meal</t>
  </si>
  <si>
    <t>sun meal</t>
  </si>
  <si>
    <t>canola meal</t>
  </si>
  <si>
    <t>kreher's</t>
  </si>
  <si>
    <t>Soy meal</t>
  </si>
  <si>
    <t>Canola meal</t>
  </si>
  <si>
    <t>Blood meal</t>
  </si>
  <si>
    <t>Giroux's</t>
  </si>
  <si>
    <t>Pro-gro</t>
  </si>
  <si>
    <t>Chilean</t>
  </si>
  <si>
    <t>Sunflower meal</t>
  </si>
  <si>
    <t>organic amendment this year (#2)</t>
  </si>
  <si>
    <t xml:space="preserve">organic amendment last year </t>
  </si>
  <si>
    <t>Availability coefficient:</t>
  </si>
  <si>
    <t>Type:</t>
  </si>
  <si>
    <t>Organic amendment availability coefficients</t>
  </si>
  <si>
    <t>organic amendment. this year (#1)</t>
  </si>
  <si>
    <t>select type:</t>
  </si>
  <si>
    <t>none</t>
  </si>
  <si>
    <t>organic amendment this year</t>
  </si>
  <si>
    <t>Sample Name</t>
  </si>
  <si>
    <t>paper</t>
  </si>
  <si>
    <t>moo doo</t>
  </si>
  <si>
    <t>total dm %</t>
  </si>
  <si>
    <t>total C %</t>
  </si>
  <si>
    <t>total N %</t>
  </si>
  <si>
    <t>total K %</t>
  </si>
  <si>
    <t>total P %</t>
  </si>
  <si>
    <t xml:space="preserve">C:N ratio </t>
  </si>
  <si>
    <t>NH4-N (mg/kg)</t>
  </si>
  <si>
    <t>NO3-N (mg/kg)</t>
  </si>
  <si>
    <t>organic N (mg/kg)</t>
  </si>
  <si>
    <t>N availability, %</t>
  </si>
  <si>
    <t>P availability, %</t>
  </si>
  <si>
    <t>Available P  (lb P2O5 per 100lb amendment "as-is" basis)</t>
  </si>
  <si>
    <t>Total P2O5       (%), as-is</t>
  </si>
  <si>
    <t>Total P2O5       (%), dry</t>
  </si>
  <si>
    <t>sunflower meal</t>
  </si>
  <si>
    <t>Other amendments</t>
  </si>
  <si>
    <t>Total K2O       (%), dry</t>
  </si>
  <si>
    <t>Available K  (lb K2O per 100lb amendment "as-is" basis)</t>
  </si>
  <si>
    <t>Total K2O      (%), as-is</t>
  </si>
  <si>
    <t>K availability, %</t>
  </si>
  <si>
    <t>February 2010</t>
  </si>
  <si>
    <t>somwhat poorly</t>
  </si>
  <si>
    <t>Availability coefficient1:</t>
  </si>
  <si>
    <t>Type1:</t>
  </si>
  <si>
    <t>Type2:</t>
  </si>
  <si>
    <t>Type-lastyr:</t>
  </si>
  <si>
    <t>Availability coefficient lastyr:</t>
  </si>
  <si>
    <t>Organic amend. 1 type</t>
  </si>
  <si>
    <t>Organic amend. 2 type</t>
  </si>
  <si>
    <t>To add additional columns, copy rows 1 to 142</t>
  </si>
  <si>
    <t>Select FIRST org. amend. application method. Incorporation by tillage reduces org. amend. P exposed to runoff.</t>
  </si>
  <si>
    <t>Select FIRST org. amend. application time to incorporation. Timing affects probability that runoff will occur.</t>
  </si>
  <si>
    <t>Select SECOND org. amend. application timing. Time of application affects probability that runoff will occur.</t>
  </si>
  <si>
    <t>Select SECOND org. amend. application method. Incorporation by tillage reduces org. amend. P exposed to runoff.</t>
  </si>
  <si>
    <t>Select SECOND org. amend. application time to incorporation. Timing affects probability that runoff will occur.</t>
  </si>
  <si>
    <t>Select FIRST org. amend. application time. Time of application affects probability that runoff will occur.</t>
  </si>
  <si>
    <t>Organic amendment application rates (lb P2O5/ac, adjusted for availability) are automatically transferred from the individual field sheets.</t>
  </si>
  <si>
    <t>This version of the P Index incorporates research estimating seasonal P release rates from a variety of organic amendments. These are selected in the numbered field sheets and transferred to the P Index. The category of "Other" has an availability of 100%.</t>
  </si>
  <si>
    <t>rev. 2/8/2010</t>
  </si>
</sst>
</file>

<file path=xl/styles.xml><?xml version="1.0" encoding="utf-8"?>
<styleSheet xmlns="http://schemas.openxmlformats.org/spreadsheetml/2006/main">
  <numFmts count="8">
    <numFmt numFmtId="43" formatCode="_(* #,##0.00_);_(* \(#,##0.00\);_(* &quot;-&quot;??_);_(@_)"/>
    <numFmt numFmtId="164" formatCode="0.0"/>
    <numFmt numFmtId="165" formatCode="####"/>
    <numFmt numFmtId="166" formatCode="\(###\)\-###\-####"/>
    <numFmt numFmtId="167" formatCode="_(* #,##0_);_(* \(#,##0\);_(* &quot;-&quot;??_);_(@_)"/>
    <numFmt numFmtId="168" formatCode="0.000"/>
    <numFmt numFmtId="169" formatCode="0.0000"/>
    <numFmt numFmtId="170" formatCode="0.0%"/>
  </numFmts>
  <fonts count="48">
    <font>
      <sz val="11"/>
      <color theme="1"/>
      <name val="Calibri"/>
      <family val="2"/>
      <scheme val="minor"/>
    </font>
    <font>
      <sz val="11"/>
      <color indexed="8"/>
      <name val="Calibri"/>
      <family val="2"/>
    </font>
    <font>
      <vertAlign val="superscript"/>
      <sz val="11"/>
      <color indexed="8"/>
      <name val="Calibri"/>
      <family val="2"/>
    </font>
    <font>
      <b/>
      <sz val="11"/>
      <color indexed="8"/>
      <name val="Calibri"/>
      <family val="2"/>
    </font>
    <font>
      <sz val="10"/>
      <name val="Arial"/>
      <family val="2"/>
    </font>
    <font>
      <b/>
      <sz val="11"/>
      <color indexed="8"/>
      <name val="Calibri"/>
      <family val="2"/>
    </font>
    <font>
      <b/>
      <sz val="10"/>
      <color indexed="8"/>
      <name val="Calibri"/>
      <family val="2"/>
    </font>
    <font>
      <b/>
      <sz val="18"/>
      <color indexed="8"/>
      <name val="Calibri"/>
      <family val="2"/>
    </font>
    <font>
      <b/>
      <sz val="12"/>
      <color indexed="8"/>
      <name val="Calibri"/>
      <family val="2"/>
    </font>
    <font>
      <sz val="9"/>
      <color indexed="8"/>
      <name val="Calibri"/>
      <family val="2"/>
    </font>
    <font>
      <b/>
      <sz val="9"/>
      <color indexed="8"/>
      <name val="Calibri"/>
      <family val="2"/>
    </font>
    <font>
      <i/>
      <sz val="10"/>
      <color indexed="8"/>
      <name val="Calibri"/>
      <family val="2"/>
    </font>
    <font>
      <b/>
      <i/>
      <sz val="16"/>
      <color indexed="8"/>
      <name val="Calibri"/>
      <family val="2"/>
    </font>
    <font>
      <sz val="8"/>
      <name val="Calibri"/>
      <family val="2"/>
    </font>
    <font>
      <i/>
      <sz val="11"/>
      <color indexed="8"/>
      <name val="Calibri"/>
      <family val="2"/>
    </font>
    <font>
      <b/>
      <sz val="8"/>
      <color indexed="8"/>
      <name val="Calibri"/>
      <family val="2"/>
    </font>
    <font>
      <b/>
      <sz val="14"/>
      <color indexed="8"/>
      <name val="Calibri"/>
      <family val="2"/>
    </font>
    <font>
      <b/>
      <sz val="10"/>
      <color indexed="9"/>
      <name val="Arial"/>
      <family val="2"/>
    </font>
    <font>
      <sz val="8"/>
      <name val="Arial"/>
      <family val="2"/>
    </font>
    <font>
      <b/>
      <sz val="10"/>
      <color indexed="8"/>
      <name val="Arial"/>
      <family val="2"/>
    </font>
    <font>
      <b/>
      <sz val="10"/>
      <name val="Arial"/>
      <family val="2"/>
    </font>
    <font>
      <sz val="10"/>
      <color indexed="8"/>
      <name val="Arial"/>
      <family val="2"/>
    </font>
    <font>
      <sz val="9"/>
      <color indexed="8"/>
      <name val="Arial"/>
      <family val="2"/>
    </font>
    <font>
      <sz val="9"/>
      <name val="Arial"/>
      <family val="2"/>
    </font>
    <font>
      <sz val="10"/>
      <name val="Arial"/>
      <family val="2"/>
    </font>
    <font>
      <b/>
      <sz val="10"/>
      <color indexed="48"/>
      <name val="Arial"/>
      <family val="2"/>
    </font>
    <font>
      <b/>
      <sz val="8"/>
      <color indexed="10"/>
      <name val="Arial"/>
      <family val="2"/>
    </font>
    <font>
      <b/>
      <sz val="9"/>
      <name val="Arial"/>
      <family val="2"/>
    </font>
    <font>
      <b/>
      <sz val="8"/>
      <color indexed="81"/>
      <name val="Tahoma"/>
      <family val="2"/>
    </font>
    <font>
      <sz val="8"/>
      <color indexed="81"/>
      <name val="Tahoma"/>
      <family val="2"/>
    </font>
    <font>
      <b/>
      <sz val="10"/>
      <color indexed="18"/>
      <name val="Arial"/>
      <family val="2"/>
    </font>
    <font>
      <b/>
      <sz val="10"/>
      <color indexed="53"/>
      <name val="Arial"/>
      <family val="2"/>
    </font>
    <font>
      <b/>
      <sz val="10"/>
      <color indexed="10"/>
      <name val="Arial"/>
      <family val="2"/>
    </font>
    <font>
      <sz val="10"/>
      <name val="Verdana"/>
      <family val="2"/>
    </font>
    <font>
      <sz val="9"/>
      <name val="Verdana"/>
      <family val="2"/>
    </font>
    <font>
      <b/>
      <sz val="14"/>
      <color indexed="9"/>
      <name val="Arial"/>
      <family val="2"/>
    </font>
    <font>
      <sz val="9"/>
      <color indexed="81"/>
      <name val="Tahoma"/>
      <family val="2"/>
    </font>
    <font>
      <b/>
      <sz val="9"/>
      <color indexed="81"/>
      <name val="Tahoma"/>
      <family val="2"/>
    </font>
    <font>
      <sz val="11"/>
      <color indexed="8"/>
      <name val="Calibri"/>
      <family val="2"/>
    </font>
    <font>
      <b/>
      <sz val="11"/>
      <color indexed="8"/>
      <name val="Calibri"/>
      <family val="2"/>
    </font>
    <font>
      <sz val="10"/>
      <color indexed="8"/>
      <name val="Calibri"/>
      <family val="2"/>
    </font>
    <font>
      <b/>
      <sz val="10"/>
      <color indexed="8"/>
      <name val="Calibri"/>
      <family val="2"/>
    </font>
    <font>
      <sz val="9"/>
      <color indexed="8"/>
      <name val="Calibri"/>
      <family val="2"/>
    </font>
    <font>
      <sz val="7"/>
      <color indexed="8"/>
      <name val="Calibri"/>
      <family val="2"/>
    </font>
    <font>
      <sz val="14"/>
      <color indexed="8"/>
      <name val="Calibri"/>
      <family val="2"/>
    </font>
    <font>
      <sz val="8"/>
      <color indexed="8"/>
      <name val="Calibri"/>
      <family val="2"/>
    </font>
    <font>
      <i/>
      <sz val="9"/>
      <color indexed="8"/>
      <name val="Calibri"/>
      <family val="2"/>
    </font>
    <font>
      <sz val="11"/>
      <color theme="1"/>
      <name val="Calibri"/>
      <family val="2"/>
      <scheme val="minor"/>
    </font>
  </fonts>
  <fills count="20">
    <fill>
      <patternFill patternType="none"/>
    </fill>
    <fill>
      <patternFill patternType="gray125"/>
    </fill>
    <fill>
      <patternFill patternType="solid">
        <fgColor indexed="31"/>
        <bgColor indexed="64"/>
      </patternFill>
    </fill>
    <fill>
      <patternFill patternType="solid">
        <fgColor indexed="47"/>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46"/>
        <bgColor indexed="64"/>
      </patternFill>
    </fill>
    <fill>
      <patternFill patternType="lightDown">
        <bgColor indexed="31"/>
      </patternFill>
    </fill>
    <fill>
      <patternFill patternType="solid">
        <fgColor indexed="9"/>
        <bgColor indexed="64"/>
      </patternFill>
    </fill>
    <fill>
      <patternFill patternType="solid">
        <fgColor indexed="42"/>
        <bgColor indexed="64"/>
      </patternFill>
    </fill>
    <fill>
      <patternFill patternType="solid">
        <fgColor indexed="52"/>
        <bgColor indexed="64"/>
      </patternFill>
    </fill>
    <fill>
      <patternFill patternType="solid">
        <fgColor indexed="29"/>
        <bgColor indexed="64"/>
      </patternFill>
    </fill>
    <fill>
      <patternFill patternType="solid">
        <fgColor indexed="55"/>
        <bgColor indexed="64"/>
      </patternFill>
    </fill>
    <fill>
      <patternFill patternType="solid">
        <fgColor indexed="51"/>
        <bgColor indexed="64"/>
      </patternFill>
    </fill>
    <fill>
      <patternFill patternType="solid">
        <fgColor indexed="26"/>
        <bgColor indexed="64"/>
      </patternFill>
    </fill>
    <fill>
      <patternFill patternType="solid">
        <fgColor indexed="15"/>
        <bgColor indexed="64"/>
      </patternFill>
    </fill>
    <fill>
      <patternFill patternType="solid">
        <fgColor indexed="41"/>
        <bgColor indexed="64"/>
      </patternFill>
    </fill>
    <fill>
      <patternFill patternType="solid">
        <fgColor indexed="8"/>
        <bgColor indexed="64"/>
      </patternFill>
    </fill>
    <fill>
      <patternFill patternType="solid">
        <fgColor indexed="44"/>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ck">
        <color indexed="64"/>
      </left>
      <right style="thick">
        <color indexed="64"/>
      </right>
      <top style="thick">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ck">
        <color indexed="64"/>
      </left>
      <right style="thin">
        <color indexed="64"/>
      </right>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4" fillId="0" borderId="0" applyFont="0" applyFill="0" applyBorder="0" applyAlignment="0" applyProtection="0"/>
    <xf numFmtId="0" fontId="4" fillId="0" borderId="0"/>
    <xf numFmtId="0" fontId="4" fillId="0" borderId="0"/>
    <xf numFmtId="0" fontId="47" fillId="0" borderId="0"/>
    <xf numFmtId="0" fontId="24" fillId="0" borderId="0"/>
    <xf numFmtId="0" fontId="33" fillId="0" borderId="0"/>
    <xf numFmtId="0" fontId="24" fillId="0" borderId="0"/>
  </cellStyleXfs>
  <cellXfs count="730">
    <xf numFmtId="0" fontId="0" fillId="0" borderId="0" xfId="0"/>
    <xf numFmtId="0" fontId="5" fillId="0" borderId="0" xfId="0" applyFont="1"/>
    <xf numFmtId="0" fontId="0" fillId="0" borderId="1" xfId="0" applyBorder="1"/>
    <xf numFmtId="0" fontId="0" fillId="2" borderId="1" xfId="0" applyFill="1" applyBorder="1"/>
    <xf numFmtId="0" fontId="0" fillId="3" borderId="1" xfId="0" applyFill="1" applyBorder="1"/>
    <xf numFmtId="0" fontId="0" fillId="4" borderId="0" xfId="0" applyFill="1"/>
    <xf numFmtId="0" fontId="0" fillId="5" borderId="1" xfId="0" applyFill="1" applyBorder="1"/>
    <xf numFmtId="0" fontId="0" fillId="0" borderId="0" xfId="0" applyFill="1"/>
    <xf numFmtId="0" fontId="0" fillId="6" borderId="1" xfId="0" applyFill="1" applyBorder="1"/>
    <xf numFmtId="0" fontId="0" fillId="7" borderId="1" xfId="0" applyFill="1" applyBorder="1"/>
    <xf numFmtId="0" fontId="0" fillId="8" borderId="1" xfId="0" applyFill="1" applyBorder="1"/>
    <xf numFmtId="0" fontId="0" fillId="0" borderId="2" xfId="0" applyBorder="1"/>
    <xf numFmtId="0" fontId="0" fillId="0" borderId="0" xfId="0" applyBorder="1"/>
    <xf numFmtId="0" fontId="0" fillId="7" borderId="3" xfId="0" applyFill="1" applyBorder="1"/>
    <xf numFmtId="0" fontId="0" fillId="6" borderId="3" xfId="0" applyFill="1" applyBorder="1"/>
    <xf numFmtId="0" fontId="0" fillId="9" borderId="0" xfId="0" applyFill="1"/>
    <xf numFmtId="0" fontId="0" fillId="4" borderId="0" xfId="0" applyFill="1" applyAlignment="1">
      <alignment horizontal="center" vertical="center" wrapText="1"/>
    </xf>
    <xf numFmtId="0" fontId="5" fillId="0" borderId="0" xfId="0" applyFont="1" applyAlignment="1">
      <alignment horizontal="left"/>
    </xf>
    <xf numFmtId="0" fontId="0" fillId="4" borderId="0" xfId="0" applyFill="1" applyProtection="1"/>
    <xf numFmtId="0" fontId="0" fillId="4" borderId="4" xfId="0" applyFill="1" applyBorder="1"/>
    <xf numFmtId="0" fontId="0" fillId="0" borderId="5" xfId="0" applyBorder="1"/>
    <xf numFmtId="0" fontId="0" fillId="6" borderId="4" xfId="0" applyFill="1" applyBorder="1"/>
    <xf numFmtId="0" fontId="0" fillId="4" borderId="5" xfId="0" applyFill="1" applyBorder="1"/>
    <xf numFmtId="0" fontId="0" fillId="0" borderId="5" xfId="0" applyFont="1" applyBorder="1"/>
    <xf numFmtId="0" fontId="5" fillId="0" borderId="0" xfId="0" applyFont="1" applyBorder="1"/>
    <xf numFmtId="0" fontId="0" fillId="0" borderId="0" xfId="0" applyFill="1" applyBorder="1"/>
    <xf numFmtId="0" fontId="0" fillId="6" borderId="6" xfId="0" applyFill="1" applyBorder="1"/>
    <xf numFmtId="0" fontId="0" fillId="2" borderId="6" xfId="0" applyFill="1" applyBorder="1"/>
    <xf numFmtId="0" fontId="0" fillId="3" borderId="6" xfId="0" applyFill="1" applyBorder="1"/>
    <xf numFmtId="0" fontId="0" fillId="9" borderId="0" xfId="0" applyFill="1" applyBorder="1"/>
    <xf numFmtId="0" fontId="0" fillId="0" borderId="0" xfId="0" applyFont="1" applyFill="1" applyBorder="1"/>
    <xf numFmtId="0" fontId="5" fillId="0" borderId="7" xfId="0" applyFont="1" applyBorder="1" applyAlignment="1">
      <alignment horizontal="center"/>
    </xf>
    <xf numFmtId="0" fontId="5" fillId="0" borderId="0" xfId="0" applyFont="1" applyBorder="1" applyAlignment="1">
      <alignment horizontal="center"/>
    </xf>
    <xf numFmtId="0" fontId="5" fillId="0" borderId="8" xfId="0" applyFont="1" applyBorder="1" applyAlignment="1">
      <alignment horizontal="center"/>
    </xf>
    <xf numFmtId="0" fontId="9" fillId="0" borderId="0" xfId="0" applyFont="1"/>
    <xf numFmtId="0" fontId="10" fillId="0" borderId="0" xfId="0" applyFont="1" applyBorder="1"/>
    <xf numFmtId="0" fontId="6" fillId="0" borderId="0" xfId="0" applyFont="1" applyBorder="1" applyAlignment="1">
      <alignment horizontal="right"/>
    </xf>
    <xf numFmtId="0" fontId="5" fillId="0" borderId="0" xfId="0" applyFont="1" applyFill="1" applyBorder="1"/>
    <xf numFmtId="0" fontId="5" fillId="10" borderId="9" xfId="0" applyFont="1" applyFill="1" applyBorder="1"/>
    <xf numFmtId="0" fontId="0" fillId="10" borderId="10" xfId="0" applyFill="1" applyBorder="1"/>
    <xf numFmtId="0" fontId="0" fillId="10" borderId="11" xfId="0" applyFill="1" applyBorder="1"/>
    <xf numFmtId="0" fontId="5" fillId="10" borderId="12" xfId="0" applyFont="1" applyFill="1" applyBorder="1"/>
    <xf numFmtId="0" fontId="0" fillId="10" borderId="0" xfId="0" applyFill="1" applyBorder="1"/>
    <xf numFmtId="0" fontId="0" fillId="10" borderId="13" xfId="0" applyFill="1" applyBorder="1"/>
    <xf numFmtId="0" fontId="0" fillId="10" borderId="12" xfId="0" applyFill="1" applyBorder="1"/>
    <xf numFmtId="0" fontId="0" fillId="10" borderId="0" xfId="0" applyFill="1" applyBorder="1" applyAlignment="1">
      <alignment horizontal="left"/>
    </xf>
    <xf numFmtId="14" fontId="0" fillId="10" borderId="0" xfId="0" applyNumberFormat="1" applyFill="1" applyBorder="1"/>
    <xf numFmtId="0" fontId="11" fillId="10" borderId="0" xfId="0" applyFont="1" applyFill="1" applyBorder="1"/>
    <xf numFmtId="0" fontId="0" fillId="10" borderId="12" xfId="0" applyFont="1" applyFill="1" applyBorder="1"/>
    <xf numFmtId="0" fontId="39" fillId="0" borderId="0" xfId="0" applyFont="1"/>
    <xf numFmtId="0" fontId="0" fillId="0" borderId="0" xfId="0" applyAlignment="1">
      <alignment horizontal="center"/>
    </xf>
    <xf numFmtId="0" fontId="3" fillId="0" borderId="0" xfId="0" applyFont="1" applyFill="1" applyBorder="1"/>
    <xf numFmtId="0" fontId="0" fillId="5" borderId="6" xfId="0" applyFill="1" applyBorder="1"/>
    <xf numFmtId="0" fontId="0" fillId="11" borderId="1" xfId="0" applyFill="1" applyBorder="1"/>
    <xf numFmtId="0" fontId="1" fillId="10" borderId="12" xfId="0" applyFont="1" applyFill="1" applyBorder="1"/>
    <xf numFmtId="0" fontId="9" fillId="0" borderId="0" xfId="0" applyFont="1" applyFill="1"/>
    <xf numFmtId="0" fontId="9" fillId="0" borderId="0" xfId="0" applyFont="1" applyAlignment="1"/>
    <xf numFmtId="0" fontId="39" fillId="0" borderId="0" xfId="0" applyFont="1" applyFill="1" applyBorder="1" applyAlignment="1">
      <alignment horizontal="center"/>
    </xf>
    <xf numFmtId="0" fontId="40" fillId="0" borderId="0" xfId="0" applyFont="1"/>
    <xf numFmtId="0" fontId="41" fillId="0" borderId="0" xfId="0" applyFont="1"/>
    <xf numFmtId="0" fontId="39" fillId="0" borderId="0" xfId="0" applyFont="1" applyFill="1" applyBorder="1"/>
    <xf numFmtId="0" fontId="41" fillId="0" borderId="16" xfId="0" applyFont="1" applyBorder="1"/>
    <xf numFmtId="0" fontId="5" fillId="12" borderId="5" xfId="0" applyFont="1" applyFill="1" applyBorder="1" applyAlignment="1">
      <alignment horizontal="center"/>
    </xf>
    <xf numFmtId="0" fontId="0" fillId="12" borderId="17" xfId="0" applyFill="1" applyBorder="1" applyAlignment="1">
      <alignment horizontal="center"/>
    </xf>
    <xf numFmtId="0" fontId="5" fillId="9" borderId="0" xfId="0" applyFont="1" applyFill="1" applyBorder="1"/>
    <xf numFmtId="0" fontId="0" fillId="9" borderId="16" xfId="0" applyFill="1" applyBorder="1"/>
    <xf numFmtId="0" fontId="6" fillId="0" borderId="13" xfId="0" applyFont="1" applyBorder="1"/>
    <xf numFmtId="0" fontId="0" fillId="9" borderId="13" xfId="0" applyFill="1" applyBorder="1"/>
    <xf numFmtId="0" fontId="0" fillId="2" borderId="18" xfId="0" applyFill="1" applyBorder="1"/>
    <xf numFmtId="0" fontId="0" fillId="9" borderId="19" xfId="0" applyFill="1" applyBorder="1"/>
    <xf numFmtId="0" fontId="4" fillId="9" borderId="0" xfId="3" applyFont="1" applyFill="1"/>
    <xf numFmtId="0" fontId="4" fillId="4" borderId="1" xfId="3" applyFont="1" applyFill="1" applyBorder="1"/>
    <xf numFmtId="0" fontId="18" fillId="4" borderId="20" xfId="3" applyFont="1" applyFill="1" applyBorder="1"/>
    <xf numFmtId="0" fontId="18" fillId="4" borderId="21" xfId="3" applyFont="1" applyFill="1" applyBorder="1"/>
    <xf numFmtId="0" fontId="18" fillId="4" borderId="22" xfId="3" applyFont="1" applyFill="1" applyBorder="1"/>
    <xf numFmtId="0" fontId="4" fillId="0" borderId="0" xfId="3" applyFont="1"/>
    <xf numFmtId="0" fontId="4" fillId="4" borderId="14" xfId="3" applyFont="1" applyFill="1" applyBorder="1"/>
    <xf numFmtId="0" fontId="19" fillId="9" borderId="23" xfId="3" applyFont="1" applyFill="1" applyBorder="1" applyAlignment="1">
      <alignment horizontal="center"/>
    </xf>
    <xf numFmtId="0" fontId="22" fillId="9" borderId="23" xfId="3" applyFont="1" applyFill="1" applyBorder="1" applyAlignment="1">
      <alignment horizontal="left" wrapText="1"/>
    </xf>
    <xf numFmtId="0" fontId="22" fillId="9" borderId="24" xfId="3" applyFont="1" applyFill="1" applyBorder="1" applyAlignment="1">
      <alignment horizontal="left" wrapText="1"/>
    </xf>
    <xf numFmtId="0" fontId="23" fillId="9" borderId="0" xfId="3" applyFont="1" applyFill="1" applyBorder="1"/>
    <xf numFmtId="0" fontId="23" fillId="9" borderId="0" xfId="3" applyFont="1" applyFill="1" applyBorder="1" applyProtection="1">
      <protection locked="0"/>
    </xf>
    <xf numFmtId="0" fontId="23" fillId="9" borderId="13" xfId="3" applyFont="1" applyFill="1" applyBorder="1" applyProtection="1">
      <protection locked="0"/>
    </xf>
    <xf numFmtId="0" fontId="23" fillId="9" borderId="23" xfId="3" applyFont="1" applyFill="1" applyBorder="1"/>
    <xf numFmtId="0" fontId="23" fillId="9" borderId="23" xfId="3" applyFont="1" applyFill="1" applyBorder="1" applyProtection="1">
      <protection locked="0"/>
    </xf>
    <xf numFmtId="0" fontId="23" fillId="9" borderId="24" xfId="3" applyFont="1" applyFill="1" applyBorder="1" applyProtection="1">
      <protection locked="0"/>
    </xf>
    <xf numFmtId="0" fontId="23" fillId="9" borderId="16" xfId="3" applyFont="1" applyFill="1" applyBorder="1"/>
    <xf numFmtId="0" fontId="23" fillId="9" borderId="16" xfId="3" applyFont="1" applyFill="1" applyBorder="1" applyProtection="1">
      <protection locked="0"/>
    </xf>
    <xf numFmtId="0" fontId="23" fillId="9" borderId="15" xfId="3" applyFont="1" applyFill="1" applyBorder="1" applyProtection="1">
      <protection locked="0"/>
    </xf>
    <xf numFmtId="0" fontId="4" fillId="4" borderId="16" xfId="3" applyFont="1" applyFill="1" applyBorder="1"/>
    <xf numFmtId="0" fontId="4" fillId="0" borderId="16" xfId="3" applyFont="1" applyBorder="1" applyProtection="1">
      <protection locked="0"/>
    </xf>
    <xf numFmtId="0" fontId="4" fillId="0" borderId="15" xfId="3" applyFont="1" applyBorder="1" applyProtection="1">
      <protection locked="0"/>
    </xf>
    <xf numFmtId="0" fontId="4" fillId="0" borderId="1" xfId="3" applyFont="1" applyBorder="1" applyProtection="1">
      <protection locked="0"/>
    </xf>
    <xf numFmtId="0" fontId="4" fillId="0" borderId="28" xfId="3" applyFont="1" applyBorder="1" applyProtection="1">
      <protection locked="0"/>
    </xf>
    <xf numFmtId="0" fontId="4" fillId="9" borderId="0" xfId="3" applyFont="1" applyFill="1" applyAlignment="1"/>
    <xf numFmtId="0" fontId="0" fillId="13" borderId="0" xfId="0" applyFill="1"/>
    <xf numFmtId="0" fontId="0" fillId="13" borderId="0" xfId="0" applyFill="1" applyAlignment="1">
      <alignment horizontal="center" vertical="center" wrapText="1"/>
    </xf>
    <xf numFmtId="0" fontId="42" fillId="13" borderId="0" xfId="0" applyFont="1" applyFill="1" applyAlignment="1">
      <alignment horizontal="center" vertical="center" wrapText="1"/>
    </xf>
    <xf numFmtId="0" fontId="43" fillId="13" borderId="0" xfId="0" applyFont="1" applyFill="1" applyAlignment="1">
      <alignment horizontal="center" vertical="center" wrapText="1"/>
    </xf>
    <xf numFmtId="0" fontId="0" fillId="9" borderId="0" xfId="0" applyFill="1" applyBorder="1" applyProtection="1"/>
    <xf numFmtId="164" fontId="0" fillId="9" borderId="0" xfId="0" applyNumberFormat="1" applyFill="1" applyBorder="1" applyAlignment="1">
      <alignment horizontal="center"/>
    </xf>
    <xf numFmtId="0" fontId="0" fillId="9" borderId="0" xfId="0" applyFill="1" applyBorder="1" applyAlignment="1">
      <alignment horizontal="center"/>
    </xf>
    <xf numFmtId="0" fontId="3" fillId="0" borderId="0" xfId="0" applyFont="1" applyBorder="1" applyAlignment="1">
      <alignment horizontal="center"/>
    </xf>
    <xf numFmtId="0" fontId="0" fillId="0" borderId="10" xfId="0" applyBorder="1"/>
    <xf numFmtId="0" fontId="0" fillId="0" borderId="0" xfId="0" applyBorder="1" applyProtection="1">
      <protection locked="0"/>
    </xf>
    <xf numFmtId="0" fontId="9" fillId="2" borderId="0" xfId="0" applyFont="1" applyFill="1" applyBorder="1" applyAlignment="1" applyProtection="1">
      <alignment horizontal="center"/>
    </xf>
    <xf numFmtId="0" fontId="9" fillId="14" borderId="0" xfId="0" applyFont="1" applyFill="1" applyBorder="1" applyAlignment="1" applyProtection="1">
      <alignment horizontal="center"/>
    </xf>
    <xf numFmtId="0" fontId="9" fillId="5" borderId="0" xfId="0" applyFont="1" applyFill="1" applyBorder="1" applyAlignment="1" applyProtection="1">
      <alignment horizontal="center"/>
    </xf>
    <xf numFmtId="0" fontId="9" fillId="7" borderId="0" xfId="0" applyFont="1" applyFill="1" applyBorder="1" applyAlignment="1" applyProtection="1">
      <alignment horizontal="center"/>
      <protection locked="0"/>
    </xf>
    <xf numFmtId="0" fontId="9" fillId="7" borderId="8" xfId="0" applyFont="1" applyFill="1" applyBorder="1" applyAlignment="1" applyProtection="1">
      <alignment horizontal="center"/>
      <protection locked="0"/>
    </xf>
    <xf numFmtId="0" fontId="9" fillId="6" borderId="0" xfId="0" applyFont="1" applyFill="1" applyBorder="1" applyAlignment="1" applyProtection="1">
      <alignment horizontal="center"/>
      <protection locked="0"/>
    </xf>
    <xf numFmtId="0" fontId="9" fillId="6" borderId="8" xfId="0" applyFont="1" applyFill="1" applyBorder="1" applyAlignment="1" applyProtection="1">
      <alignment horizontal="center"/>
      <protection locked="0"/>
    </xf>
    <xf numFmtId="0" fontId="9" fillId="15" borderId="0" xfId="0" applyFont="1" applyFill="1" applyBorder="1" applyAlignment="1" applyProtection="1">
      <alignment horizontal="center"/>
      <protection locked="0"/>
    </xf>
    <xf numFmtId="0" fontId="9" fillId="15" borderId="8" xfId="0" applyFont="1" applyFill="1" applyBorder="1" applyAlignment="1" applyProtection="1">
      <alignment horizontal="center"/>
      <protection locked="0"/>
    </xf>
    <xf numFmtId="49" fontId="9" fillId="4" borderId="0" xfId="0" applyNumberFormat="1" applyFont="1" applyFill="1" applyBorder="1" applyAlignment="1" applyProtection="1">
      <alignment horizontal="center"/>
      <protection locked="0"/>
    </xf>
    <xf numFmtId="0" fontId="9" fillId="0" borderId="30" xfId="0" applyFont="1" applyBorder="1" applyProtection="1">
      <protection locked="0"/>
    </xf>
    <xf numFmtId="0" fontId="9" fillId="0" borderId="5" xfId="0" applyFont="1" applyBorder="1" applyProtection="1">
      <protection locked="0"/>
    </xf>
    <xf numFmtId="0" fontId="9" fillId="0" borderId="7" xfId="0" applyFont="1" applyBorder="1" applyProtection="1">
      <protection locked="0"/>
    </xf>
    <xf numFmtId="0" fontId="9" fillId="0" borderId="0" xfId="0" applyFont="1" applyBorder="1" applyProtection="1">
      <protection locked="0"/>
    </xf>
    <xf numFmtId="0" fontId="9" fillId="0" borderId="31" xfId="0" applyFont="1" applyBorder="1" applyProtection="1">
      <protection locked="0"/>
    </xf>
    <xf numFmtId="0" fontId="9" fillId="0" borderId="2" xfId="0" applyFont="1" applyBorder="1" applyProtection="1">
      <protection locked="0"/>
    </xf>
    <xf numFmtId="0" fontId="9" fillId="4" borderId="0" xfId="0" applyFont="1" applyFill="1" applyBorder="1" applyAlignment="1" applyProtection="1">
      <alignment horizontal="center"/>
      <protection locked="0"/>
    </xf>
    <xf numFmtId="0" fontId="0" fillId="4" borderId="4" xfId="0" applyFill="1" applyBorder="1" applyProtection="1">
      <protection locked="0"/>
    </xf>
    <xf numFmtId="0" fontId="0" fillId="6" borderId="4" xfId="0" applyFill="1" applyBorder="1" applyProtection="1">
      <protection locked="0"/>
    </xf>
    <xf numFmtId="0" fontId="0" fillId="4" borderId="5" xfId="0" applyFill="1" applyBorder="1" applyProtection="1">
      <protection locked="0"/>
    </xf>
    <xf numFmtId="0" fontId="0" fillId="6" borderId="1" xfId="0" applyFill="1" applyBorder="1" applyProtection="1">
      <protection locked="0"/>
    </xf>
    <xf numFmtId="0" fontId="0" fillId="2" borderId="1" xfId="0" applyFill="1" applyBorder="1" applyProtection="1">
      <protection locked="0"/>
    </xf>
    <xf numFmtId="0" fontId="0" fillId="3" borderId="1" xfId="0" applyFill="1" applyBorder="1" applyProtection="1">
      <protection locked="0"/>
    </xf>
    <xf numFmtId="0" fontId="0" fillId="5" borderId="1" xfId="0" applyFill="1" applyBorder="1" applyProtection="1">
      <protection locked="0"/>
    </xf>
    <xf numFmtId="0" fontId="0" fillId="7" borderId="1" xfId="0" applyFill="1" applyBorder="1" applyProtection="1">
      <protection locked="0"/>
    </xf>
    <xf numFmtId="0" fontId="0" fillId="0" borderId="0" xfId="0" applyFill="1" applyBorder="1" applyProtection="1">
      <protection locked="0"/>
    </xf>
    <xf numFmtId="0" fontId="1" fillId="0" borderId="0" xfId="0" applyFont="1" applyFill="1" applyBorder="1" applyProtection="1">
      <protection locked="0"/>
    </xf>
    <xf numFmtId="0" fontId="0" fillId="0" borderId="1" xfId="0" applyBorder="1" applyProtection="1">
      <protection locked="0"/>
    </xf>
    <xf numFmtId="0" fontId="0" fillId="0" borderId="0" xfId="0" applyFont="1" applyBorder="1" applyProtection="1">
      <protection locked="0"/>
    </xf>
    <xf numFmtId="164" fontId="0" fillId="0" borderId="20" xfId="0" applyNumberFormat="1" applyBorder="1" applyAlignment="1" applyProtection="1">
      <alignment horizontal="center"/>
      <protection locked="0"/>
    </xf>
    <xf numFmtId="0" fontId="0" fillId="0" borderId="4" xfId="0" applyBorder="1" applyAlignment="1" applyProtection="1">
      <alignment horizontal="center"/>
      <protection locked="0"/>
    </xf>
    <xf numFmtId="0" fontId="0" fillId="0" borderId="29" xfId="0" applyBorder="1" applyAlignment="1" applyProtection="1">
      <alignment horizontal="center"/>
      <protection locked="0"/>
    </xf>
    <xf numFmtId="164" fontId="0" fillId="0" borderId="32" xfId="0" applyNumberFormat="1" applyBorder="1" applyAlignment="1" applyProtection="1">
      <alignment horizontal="center"/>
      <protection locked="0"/>
    </xf>
    <xf numFmtId="164" fontId="0" fillId="0" borderId="2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33" xfId="0" applyBorder="1" applyAlignment="1" applyProtection="1">
      <alignment horizontal="center"/>
      <protection locked="0"/>
    </xf>
    <xf numFmtId="164" fontId="0" fillId="0" borderId="28" xfId="0" applyNumberFormat="1" applyBorder="1" applyAlignment="1" applyProtection="1">
      <alignment horizontal="center"/>
      <protection locked="0"/>
    </xf>
    <xf numFmtId="0" fontId="0" fillId="0" borderId="14" xfId="0" applyBorder="1" applyAlignment="1" applyProtection="1">
      <alignment horizontal="center"/>
      <protection locked="0"/>
    </xf>
    <xf numFmtId="0" fontId="5" fillId="9" borderId="1" xfId="0" applyFont="1" applyFill="1" applyBorder="1" applyAlignment="1" applyProtection="1">
      <alignment horizontal="center"/>
      <protection locked="0"/>
    </xf>
    <xf numFmtId="0" fontId="0" fillId="0" borderId="20" xfId="0" applyBorder="1" applyProtection="1">
      <protection locked="0"/>
    </xf>
    <xf numFmtId="0" fontId="0" fillId="0" borderId="4" xfId="0" applyBorder="1" applyProtection="1">
      <protection locked="0"/>
    </xf>
    <xf numFmtId="0" fontId="0" fillId="0" borderId="21" xfId="0" applyBorder="1" applyProtection="1">
      <protection locked="0"/>
    </xf>
    <xf numFmtId="0" fontId="0" fillId="0" borderId="22" xfId="0" applyBorder="1" applyProtection="1">
      <protection locked="0"/>
    </xf>
    <xf numFmtId="0" fontId="0" fillId="0" borderId="34" xfId="0" applyBorder="1" applyProtection="1">
      <protection locked="0"/>
    </xf>
    <xf numFmtId="0" fontId="0" fillId="0" borderId="32" xfId="0" applyBorder="1" applyProtection="1">
      <protection locked="0"/>
    </xf>
    <xf numFmtId="0" fontId="0" fillId="0" borderId="28" xfId="0" applyBorder="1" applyProtection="1">
      <protection locked="0"/>
    </xf>
    <xf numFmtId="0" fontId="0" fillId="0" borderId="35" xfId="0" applyBorder="1" applyProtection="1">
      <protection locked="0"/>
    </xf>
    <xf numFmtId="0" fontId="0" fillId="0" borderId="0" xfId="0" applyProtection="1">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5" fillId="0" borderId="0" xfId="0" applyFont="1" applyProtection="1">
      <protection locked="0"/>
    </xf>
    <xf numFmtId="0" fontId="5" fillId="0" borderId="0" xfId="0" applyFont="1" applyAlignment="1" applyProtection="1">
      <alignment horizontal="center"/>
      <protection locked="0"/>
    </xf>
    <xf numFmtId="0" fontId="3" fillId="0" borderId="0" xfId="0" applyFont="1" applyAlignment="1" applyProtection="1">
      <alignment horizontal="left"/>
      <protection locked="0"/>
    </xf>
    <xf numFmtId="49" fontId="0" fillId="0" borderId="20" xfId="0" applyNumberFormat="1" applyBorder="1" applyAlignment="1" applyProtection="1">
      <alignment horizontal="center"/>
      <protection locked="0"/>
    </xf>
    <xf numFmtId="49" fontId="0" fillId="0" borderId="4" xfId="0" applyNumberFormat="1" applyBorder="1" applyAlignment="1" applyProtection="1">
      <alignment horizontal="center"/>
      <protection locked="0"/>
    </xf>
    <xf numFmtId="49" fontId="0" fillId="0" borderId="29" xfId="0" applyNumberFormat="1" applyBorder="1" applyAlignment="1" applyProtection="1">
      <alignment horizontal="center"/>
      <protection locked="0"/>
    </xf>
    <xf numFmtId="49" fontId="0" fillId="0" borderId="32" xfId="0" applyNumberFormat="1" applyBorder="1" applyAlignment="1" applyProtection="1">
      <alignment horizontal="center"/>
      <protection locked="0"/>
    </xf>
    <xf numFmtId="49" fontId="0" fillId="0" borderId="21" xfId="0" applyNumberFormat="1" applyBorder="1" applyAlignment="1" applyProtection="1">
      <alignment horizontal="center"/>
      <protection locked="0"/>
    </xf>
    <xf numFmtId="49" fontId="0" fillId="0" borderId="1" xfId="0" applyNumberFormat="1" applyBorder="1" applyAlignment="1" applyProtection="1">
      <alignment horizontal="center"/>
      <protection locked="0"/>
    </xf>
    <xf numFmtId="49" fontId="0" fillId="0" borderId="33" xfId="0" applyNumberFormat="1" applyBorder="1" applyAlignment="1" applyProtection="1">
      <alignment horizontal="center"/>
      <protection locked="0"/>
    </xf>
    <xf numFmtId="49" fontId="0" fillId="0" borderId="28" xfId="0" applyNumberFormat="1" applyBorder="1" applyAlignment="1" applyProtection="1">
      <alignment horizontal="center"/>
      <protection locked="0"/>
    </xf>
    <xf numFmtId="49" fontId="0" fillId="0" borderId="36"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49" fontId="0" fillId="0" borderId="37" xfId="0" applyNumberFormat="1" applyBorder="1" applyAlignment="1" applyProtection="1">
      <alignment horizontal="center"/>
      <protection locked="0"/>
    </xf>
    <xf numFmtId="49" fontId="0" fillId="0" borderId="38" xfId="0" applyNumberFormat="1" applyBorder="1" applyAlignment="1" applyProtection="1">
      <alignment horizontal="center"/>
      <protection locked="0"/>
    </xf>
    <xf numFmtId="49" fontId="0" fillId="0" borderId="14" xfId="0" applyNumberFormat="1" applyBorder="1" applyAlignment="1" applyProtection="1">
      <alignment horizontal="center"/>
      <protection locked="0"/>
    </xf>
    <xf numFmtId="49" fontId="0" fillId="0" borderId="39" xfId="0" applyNumberFormat="1" applyBorder="1" applyAlignment="1" applyProtection="1">
      <alignment horizontal="center"/>
      <protection locked="0"/>
    </xf>
    <xf numFmtId="49" fontId="0" fillId="0" borderId="21" xfId="0" applyNumberFormat="1" applyBorder="1" applyProtection="1">
      <protection locked="0"/>
    </xf>
    <xf numFmtId="49" fontId="0" fillId="0" borderId="1" xfId="0" applyNumberFormat="1" applyBorder="1" applyProtection="1">
      <protection locked="0"/>
    </xf>
    <xf numFmtId="49" fontId="0" fillId="0" borderId="20" xfId="0" applyNumberFormat="1" applyBorder="1" applyProtection="1">
      <protection locked="0"/>
    </xf>
    <xf numFmtId="49" fontId="0" fillId="0" borderId="4" xfId="0" applyNumberFormat="1" applyBorder="1" applyProtection="1">
      <protection locked="0"/>
    </xf>
    <xf numFmtId="49" fontId="0" fillId="0" borderId="22" xfId="0" applyNumberFormat="1" applyBorder="1" applyProtection="1">
      <protection locked="0"/>
    </xf>
    <xf numFmtId="49" fontId="0" fillId="0" borderId="34" xfId="0" applyNumberFormat="1" applyBorder="1" applyProtection="1">
      <protection locked="0"/>
    </xf>
    <xf numFmtId="49" fontId="0" fillId="0" borderId="35" xfId="0" applyNumberForma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0" fillId="0" borderId="3" xfId="0" applyBorder="1" applyProtection="1">
      <protection locked="0"/>
    </xf>
    <xf numFmtId="0" fontId="8" fillId="3" borderId="30" xfId="0" applyFont="1" applyFill="1" applyBorder="1" applyAlignment="1" applyProtection="1">
      <alignment horizontal="center"/>
    </xf>
    <xf numFmtId="0" fontId="10" fillId="3" borderId="5" xfId="0" applyFont="1" applyFill="1" applyBorder="1" applyAlignment="1" applyProtection="1">
      <alignment horizontal="center"/>
    </xf>
    <xf numFmtId="0" fontId="10" fillId="3" borderId="17" xfId="0" applyFont="1" applyFill="1" applyBorder="1" applyAlignment="1" applyProtection="1">
      <alignment horizontal="center"/>
    </xf>
    <xf numFmtId="0" fontId="10" fillId="0" borderId="0" xfId="0" applyFont="1" applyFill="1" applyBorder="1" applyAlignment="1" applyProtection="1">
      <alignment horizontal="center"/>
    </xf>
    <xf numFmtId="0" fontId="9" fillId="0" borderId="0" xfId="0" applyFont="1" applyProtection="1"/>
    <xf numFmtId="0" fontId="10" fillId="0" borderId="7" xfId="0" applyFont="1" applyFill="1" applyBorder="1" applyAlignment="1" applyProtection="1">
      <alignment horizontal="center"/>
    </xf>
    <xf numFmtId="0" fontId="10" fillId="0" borderId="0" xfId="0" applyFont="1" applyFill="1" applyBorder="1" applyAlignment="1" applyProtection="1">
      <alignment horizontal="center" vertical="top"/>
    </xf>
    <xf numFmtId="0" fontId="10" fillId="0" borderId="8" xfId="0" applyFont="1" applyFill="1" applyBorder="1" applyAlignment="1" applyProtection="1">
      <alignment horizontal="center"/>
    </xf>
    <xf numFmtId="0" fontId="10" fillId="0" borderId="7" xfId="0" applyFont="1" applyFill="1" applyBorder="1" applyProtection="1"/>
    <xf numFmtId="0" fontId="10" fillId="0" borderId="0" xfId="0" applyFont="1" applyFill="1" applyBorder="1" applyProtection="1"/>
    <xf numFmtId="0" fontId="39" fillId="0" borderId="0" xfId="0" applyFont="1" applyFill="1" applyBorder="1" applyAlignment="1" applyProtection="1">
      <alignment horizontal="center"/>
    </xf>
    <xf numFmtId="0" fontId="9" fillId="0" borderId="7" xfId="0" applyFont="1" applyBorder="1" applyProtection="1"/>
    <xf numFmtId="0" fontId="9" fillId="2" borderId="8" xfId="0" applyFont="1" applyFill="1" applyBorder="1" applyAlignment="1" applyProtection="1">
      <alignment horizontal="center"/>
    </xf>
    <xf numFmtId="0" fontId="9" fillId="0" borderId="0" xfId="0" applyFont="1" applyFill="1" applyBorder="1" applyProtection="1"/>
    <xf numFmtId="0" fontId="9" fillId="14" borderId="8" xfId="0" applyFont="1" applyFill="1" applyBorder="1" applyAlignment="1" applyProtection="1">
      <alignment horizontal="center"/>
    </xf>
    <xf numFmtId="0" fontId="9" fillId="5" borderId="8" xfId="0" applyFont="1" applyFill="1" applyBorder="1" applyAlignment="1" applyProtection="1">
      <alignment horizontal="center"/>
    </xf>
    <xf numFmtId="0" fontId="9" fillId="7" borderId="0" xfId="0" applyFont="1" applyFill="1" applyBorder="1" applyAlignment="1" applyProtection="1">
      <alignment horizontal="center"/>
    </xf>
    <xf numFmtId="0" fontId="9" fillId="6" borderId="0" xfId="0" applyFont="1" applyFill="1" applyBorder="1" applyAlignment="1" applyProtection="1">
      <alignment horizontal="center"/>
    </xf>
    <xf numFmtId="0" fontId="9" fillId="0" borderId="7" xfId="0" applyFont="1" applyBorder="1" applyAlignment="1" applyProtection="1">
      <alignment horizontal="left"/>
    </xf>
    <xf numFmtId="0" fontId="9" fillId="15" borderId="0"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4" xfId="0" applyFont="1" applyBorder="1" applyAlignment="1" applyProtection="1">
      <alignment wrapText="1"/>
    </xf>
    <xf numFmtId="0" fontId="9" fillId="0" borderId="0" xfId="0" applyFont="1" applyFill="1" applyBorder="1" applyAlignment="1" applyProtection="1">
      <alignment wrapText="1"/>
    </xf>
    <xf numFmtId="0" fontId="9" fillId="0" borderId="0" xfId="0" applyFont="1" applyFill="1" applyProtection="1"/>
    <xf numFmtId="0" fontId="9" fillId="0" borderId="0" xfId="0" applyFont="1" applyFill="1" applyBorder="1" applyAlignment="1" applyProtection="1"/>
    <xf numFmtId="0" fontId="10" fillId="0" borderId="0" xfId="0" applyFont="1" applyBorder="1" applyAlignment="1" applyProtection="1">
      <alignment horizontal="center"/>
    </xf>
    <xf numFmtId="0" fontId="10" fillId="0" borderId="0" xfId="0" applyFont="1" applyBorder="1" applyAlignment="1" applyProtection="1">
      <alignment horizontal="center" vertical="center"/>
    </xf>
    <xf numFmtId="0" fontId="9" fillId="0" borderId="0" xfId="0" applyFont="1" applyFill="1" applyAlignment="1" applyProtection="1"/>
    <xf numFmtId="0" fontId="9" fillId="0" borderId="0" xfId="0" applyFont="1" applyAlignment="1" applyProtection="1"/>
    <xf numFmtId="0" fontId="0" fillId="0" borderId="0" xfId="0" applyBorder="1" applyAlignment="1" applyProtection="1">
      <alignment horizontal="center"/>
      <protection locked="0"/>
    </xf>
    <xf numFmtId="0" fontId="0" fillId="0" borderId="0" xfId="0" applyBorder="1" applyAlignment="1">
      <alignment horizontal="center"/>
    </xf>
    <xf numFmtId="0" fontId="0" fillId="0" borderId="2" xfId="0" applyBorder="1" applyAlignment="1" applyProtection="1">
      <alignment horizontal="center"/>
      <protection locked="0"/>
    </xf>
    <xf numFmtId="0" fontId="24" fillId="0" borderId="0" xfId="5"/>
    <xf numFmtId="0" fontId="4" fillId="0" borderId="0" xfId="5" applyFont="1"/>
    <xf numFmtId="0" fontId="20" fillId="0" borderId="16" xfId="5" applyFont="1" applyBorder="1" applyAlignment="1">
      <alignment horizontal="center"/>
    </xf>
    <xf numFmtId="0" fontId="24" fillId="0" borderId="0" xfId="5" applyAlignment="1">
      <alignment horizontal="center"/>
    </xf>
    <xf numFmtId="0" fontId="24" fillId="0" borderId="40" xfId="5" applyBorder="1"/>
    <xf numFmtId="0" fontId="24" fillId="0" borderId="41" xfId="5" applyBorder="1" applyAlignment="1">
      <alignment horizontal="center"/>
    </xf>
    <xf numFmtId="0" fontId="20" fillId="0" borderId="0" xfId="5" applyFont="1"/>
    <xf numFmtId="0" fontId="24" fillId="0" borderId="0" xfId="5" applyProtection="1"/>
    <xf numFmtId="164" fontId="24" fillId="0" borderId="0" xfId="5" applyNumberFormat="1" applyProtection="1"/>
    <xf numFmtId="2" fontId="24" fillId="0" borderId="0" xfId="5" applyNumberFormat="1" applyProtection="1"/>
    <xf numFmtId="0" fontId="24" fillId="0" borderId="16" xfId="5" applyBorder="1" applyAlignment="1" applyProtection="1">
      <alignment horizontal="center"/>
    </xf>
    <xf numFmtId="0" fontId="24" fillId="0" borderId="42" xfId="5" applyBorder="1" applyProtection="1"/>
    <xf numFmtId="0" fontId="24" fillId="0" borderId="0" xfId="5" applyAlignment="1" applyProtection="1">
      <alignment horizontal="center"/>
    </xf>
    <xf numFmtId="2" fontId="24" fillId="0" borderId="43" xfId="5" applyNumberFormat="1" applyBorder="1" applyAlignment="1" applyProtection="1">
      <alignment horizontal="center"/>
    </xf>
    <xf numFmtId="2" fontId="24" fillId="0" borderId="2" xfId="5" applyNumberFormat="1" applyBorder="1" applyAlignment="1" applyProtection="1">
      <alignment horizontal="center"/>
    </xf>
    <xf numFmtId="0" fontId="24" fillId="0" borderId="31" xfId="5" applyBorder="1" applyProtection="1"/>
    <xf numFmtId="2" fontId="24" fillId="0" borderId="8" xfId="5" applyNumberFormat="1" applyBorder="1" applyAlignment="1" applyProtection="1">
      <alignment horizontal="center"/>
    </xf>
    <xf numFmtId="2" fontId="24" fillId="0" borderId="0" xfId="5" applyNumberFormat="1" applyBorder="1" applyAlignment="1" applyProtection="1">
      <alignment horizontal="center"/>
    </xf>
    <xf numFmtId="0" fontId="24" fillId="0" borderId="7" xfId="5" applyBorder="1" applyProtection="1"/>
    <xf numFmtId="0" fontId="24" fillId="0" borderId="8" xfId="5" applyBorder="1" applyAlignment="1" applyProtection="1">
      <alignment horizontal="center"/>
    </xf>
    <xf numFmtId="0" fontId="24" fillId="0" borderId="0" xfId="5" applyBorder="1" applyAlignment="1" applyProtection="1">
      <alignment horizontal="center"/>
    </xf>
    <xf numFmtId="0" fontId="24" fillId="0" borderId="7" xfId="5" applyBorder="1" applyAlignment="1" applyProtection="1">
      <alignment horizontal="center"/>
    </xf>
    <xf numFmtId="0" fontId="24" fillId="0" borderId="8" xfId="5" applyBorder="1"/>
    <xf numFmtId="0" fontId="24" fillId="0" borderId="0" xfId="5" applyBorder="1"/>
    <xf numFmtId="0" fontId="24" fillId="0" borderId="17" xfId="5" applyBorder="1" applyAlignment="1" applyProtection="1">
      <alignment horizontal="center"/>
    </xf>
    <xf numFmtId="0" fontId="24" fillId="0" borderId="5" xfId="5" applyBorder="1" applyAlignment="1" applyProtection="1">
      <alignment horizontal="center"/>
    </xf>
    <xf numFmtId="0" fontId="24" fillId="0" borderId="30" xfId="5" applyBorder="1" applyProtection="1"/>
    <xf numFmtId="0" fontId="24" fillId="0" borderId="0" xfId="5" applyBorder="1" applyProtection="1"/>
    <xf numFmtId="0" fontId="24" fillId="0" borderId="8" xfId="5" applyBorder="1" applyProtection="1"/>
    <xf numFmtId="0" fontId="24" fillId="0" borderId="17" xfId="5" applyBorder="1" applyProtection="1"/>
    <xf numFmtId="0" fontId="24" fillId="0" borderId="5" xfId="5" applyBorder="1" applyProtection="1"/>
    <xf numFmtId="2" fontId="24" fillId="0" borderId="15" xfId="5" applyNumberFormat="1" applyBorder="1" applyProtection="1"/>
    <xf numFmtId="2" fontId="24" fillId="0" borderId="16" xfId="5" applyNumberFormat="1" applyBorder="1" applyProtection="1"/>
    <xf numFmtId="0" fontId="24" fillId="0" borderId="14" xfId="5" applyBorder="1" applyProtection="1"/>
    <xf numFmtId="2" fontId="24" fillId="0" borderId="13" xfId="5" applyNumberFormat="1" applyBorder="1" applyProtection="1"/>
    <xf numFmtId="2" fontId="24" fillId="0" borderId="0" xfId="5" applyNumberFormat="1" applyBorder="1" applyProtection="1"/>
    <xf numFmtId="0" fontId="24" fillId="0" borderId="12" xfId="5" applyBorder="1" applyProtection="1"/>
    <xf numFmtId="0" fontId="4" fillId="0" borderId="12" xfId="5" applyFont="1" applyBorder="1" applyProtection="1"/>
    <xf numFmtId="0" fontId="24" fillId="0" borderId="13" xfId="5" applyBorder="1" applyProtection="1"/>
    <xf numFmtId="0" fontId="24" fillId="0" borderId="11" xfId="5" applyBorder="1" applyProtection="1"/>
    <xf numFmtId="0" fontId="24" fillId="0" borderId="10" xfId="5" applyBorder="1" applyProtection="1"/>
    <xf numFmtId="0" fontId="24" fillId="0" borderId="9" xfId="5" applyBorder="1" applyProtection="1"/>
    <xf numFmtId="0" fontId="24" fillId="0" borderId="0" xfId="5" applyBorder="1" applyAlignment="1" applyProtection="1">
      <alignment horizontal="center"/>
      <protection locked="0"/>
    </xf>
    <xf numFmtId="0" fontId="24" fillId="0" borderId="0" xfId="5" applyAlignment="1" applyProtection="1">
      <alignment horizontal="right"/>
    </xf>
    <xf numFmtId="0" fontId="24" fillId="0" borderId="0" xfId="5" applyProtection="1">
      <protection locked="0"/>
    </xf>
    <xf numFmtId="0" fontId="24" fillId="16" borderId="44" xfId="5" applyFill="1" applyBorder="1" applyAlignment="1" applyProtection="1">
      <alignment horizontal="center" vertical="center" wrapText="1"/>
    </xf>
    <xf numFmtId="0" fontId="24" fillId="16" borderId="45" xfId="5" applyFill="1" applyBorder="1" applyAlignment="1" applyProtection="1">
      <alignment horizontal="center" vertical="center" wrapText="1"/>
    </xf>
    <xf numFmtId="0" fontId="24" fillId="16" borderId="0" xfId="5" applyFill="1" applyProtection="1"/>
    <xf numFmtId="0" fontId="24" fillId="0" borderId="0" xfId="5" applyAlignment="1" applyProtection="1">
      <alignment horizontal="left"/>
    </xf>
    <xf numFmtId="0" fontId="24" fillId="0" borderId="38" xfId="5" applyBorder="1" applyProtection="1"/>
    <xf numFmtId="0" fontId="24" fillId="0" borderId="15" xfId="5" applyBorder="1" applyProtection="1"/>
    <xf numFmtId="0" fontId="24" fillId="0" borderId="46" xfId="5" applyBorder="1" applyProtection="1"/>
    <xf numFmtId="0" fontId="24" fillId="0" borderId="0" xfId="5" applyBorder="1" applyAlignment="1" applyProtection="1">
      <alignment horizontal="left"/>
      <protection locked="0"/>
    </xf>
    <xf numFmtId="0" fontId="24" fillId="0" borderId="0" xfId="5" applyAlignment="1">
      <alignment horizontal="left"/>
    </xf>
    <xf numFmtId="0" fontId="24" fillId="0" borderId="0" xfId="5" applyAlignment="1">
      <alignment horizontal="right" wrapText="1"/>
    </xf>
    <xf numFmtId="0" fontId="24" fillId="0" borderId="0" xfId="5" applyAlignment="1">
      <alignment horizontal="right"/>
    </xf>
    <xf numFmtId="0" fontId="24" fillId="0" borderId="0" xfId="5" applyBorder="1" applyAlignment="1" applyProtection="1">
      <alignment horizontal="right"/>
    </xf>
    <xf numFmtId="0" fontId="24" fillId="0" borderId="3" xfId="5" applyBorder="1" applyAlignment="1" applyProtection="1">
      <alignment horizontal="center"/>
    </xf>
    <xf numFmtId="168" fontId="24" fillId="0" borderId="16" xfId="7" applyNumberFormat="1" applyBorder="1" applyProtection="1"/>
    <xf numFmtId="0" fontId="24" fillId="0" borderId="14" xfId="7" applyFont="1" applyBorder="1" applyAlignment="1" applyProtection="1">
      <alignment horizontal="right"/>
    </xf>
    <xf numFmtId="168" fontId="24" fillId="0" borderId="0" xfId="7" applyNumberFormat="1" applyBorder="1" applyProtection="1"/>
    <xf numFmtId="0" fontId="24" fillId="0" borderId="0" xfId="7" applyFont="1" applyBorder="1" applyAlignment="1" applyProtection="1">
      <alignment horizontal="right"/>
    </xf>
    <xf numFmtId="0" fontId="24" fillId="0" borderId="12" xfId="5" quotePrefix="1" applyBorder="1" applyProtection="1"/>
    <xf numFmtId="168" fontId="24" fillId="0" borderId="46" xfId="5" applyNumberFormat="1" applyBorder="1" applyProtection="1"/>
    <xf numFmtId="0" fontId="24" fillId="0" borderId="0" xfId="7" applyFont="1" applyProtection="1"/>
    <xf numFmtId="0" fontId="24" fillId="0" borderId="46" xfId="5" applyFill="1" applyBorder="1" applyAlignment="1" applyProtection="1">
      <alignment horizontal="center" vertical="center"/>
    </xf>
    <xf numFmtId="0" fontId="24" fillId="0" borderId="12" xfId="5" applyBorder="1" applyAlignment="1" applyProtection="1">
      <alignment horizontal="right"/>
    </xf>
    <xf numFmtId="0" fontId="24" fillId="0" borderId="0" xfId="5" applyFill="1" applyBorder="1" applyAlignment="1" applyProtection="1">
      <alignment horizontal="center" vertical="center"/>
    </xf>
    <xf numFmtId="164" fontId="24" fillId="0" borderId="0" xfId="5" applyNumberFormat="1"/>
    <xf numFmtId="164" fontId="24" fillId="0" borderId="38" xfId="5" applyNumberFormat="1" applyBorder="1"/>
    <xf numFmtId="0" fontId="24" fillId="0" borderId="38" xfId="5" applyBorder="1" applyAlignment="1" applyProtection="1">
      <alignment horizontal="right"/>
    </xf>
    <xf numFmtId="164" fontId="24" fillId="0" borderId="46" xfId="5" applyNumberFormat="1" applyBorder="1"/>
    <xf numFmtId="0" fontId="24" fillId="0" borderId="46" xfId="5" applyBorder="1" applyAlignment="1" applyProtection="1">
      <alignment horizontal="right"/>
    </xf>
    <xf numFmtId="0" fontId="24" fillId="0" borderId="15" xfId="5" applyFill="1" applyBorder="1" applyProtection="1"/>
    <xf numFmtId="0" fontId="24" fillId="0" borderId="16" xfId="5" applyBorder="1" applyProtection="1"/>
    <xf numFmtId="0" fontId="24" fillId="0" borderId="46" xfId="5" applyBorder="1" applyAlignment="1" applyProtection="1">
      <alignment horizontal="center"/>
    </xf>
    <xf numFmtId="168" fontId="24" fillId="0" borderId="3" xfId="5" applyNumberFormat="1" applyBorder="1" applyProtection="1"/>
    <xf numFmtId="0" fontId="24" fillId="0" borderId="3" xfId="5" applyBorder="1" applyAlignment="1" applyProtection="1">
      <alignment horizontal="right"/>
    </xf>
    <xf numFmtId="0" fontId="24" fillId="0" borderId="3" xfId="5" applyFill="1" applyBorder="1" applyAlignment="1" applyProtection="1">
      <alignment horizontal="center" vertical="center"/>
    </xf>
    <xf numFmtId="164" fontId="24" fillId="0" borderId="46" xfId="5" applyNumberFormat="1" applyBorder="1" applyProtection="1"/>
    <xf numFmtId="164" fontId="24" fillId="0" borderId="46" xfId="5" applyNumberFormat="1" applyBorder="1" applyAlignment="1" applyProtection="1">
      <alignment horizontal="center"/>
    </xf>
    <xf numFmtId="168" fontId="24" fillId="0" borderId="46" xfId="5" applyNumberFormat="1" applyBorder="1"/>
    <xf numFmtId="169" fontId="24" fillId="0" borderId="46" xfId="5" applyNumberFormat="1" applyBorder="1"/>
    <xf numFmtId="2" fontId="24" fillId="0" borderId="46" xfId="5" applyNumberFormat="1" applyBorder="1" applyProtection="1"/>
    <xf numFmtId="0" fontId="24" fillId="0" borderId="38" xfId="5" applyBorder="1" applyAlignment="1" applyProtection="1">
      <alignment horizontal="center"/>
    </xf>
    <xf numFmtId="164" fontId="24" fillId="0" borderId="46" xfId="5" applyNumberFormat="1" applyBorder="1" applyProtection="1">
      <protection locked="0"/>
    </xf>
    <xf numFmtId="0" fontId="24" fillId="0" borderId="46" xfId="5" applyFill="1" applyBorder="1" applyProtection="1"/>
    <xf numFmtId="0" fontId="24" fillId="0" borderId="3" xfId="5" applyBorder="1" applyProtection="1"/>
    <xf numFmtId="0" fontId="20" fillId="0" borderId="3" xfId="5" applyFont="1" applyBorder="1" applyProtection="1"/>
    <xf numFmtId="2" fontId="24" fillId="0" borderId="0" xfId="5" applyNumberFormat="1"/>
    <xf numFmtId="1" fontId="24" fillId="0" borderId="13" xfId="5" applyNumberFormat="1" applyBorder="1" applyProtection="1"/>
    <xf numFmtId="1" fontId="24" fillId="0" borderId="15" xfId="5" applyNumberFormat="1" applyBorder="1" applyProtection="1"/>
    <xf numFmtId="0" fontId="24" fillId="0" borderId="14" xfId="5" applyBorder="1" applyAlignment="1" applyProtection="1">
      <alignment horizontal="right"/>
    </xf>
    <xf numFmtId="168" fontId="24" fillId="0" borderId="13" xfId="5" applyNumberFormat="1" applyBorder="1" applyProtection="1"/>
    <xf numFmtId="0" fontId="24" fillId="0" borderId="12" xfId="5" applyBorder="1" applyAlignment="1" applyProtection="1">
      <alignment horizontal="left"/>
    </xf>
    <xf numFmtId="0" fontId="24" fillId="0" borderId="0" xfId="5" applyFill="1" applyBorder="1" applyProtection="1"/>
    <xf numFmtId="0" fontId="24" fillId="0" borderId="13" xfId="5" applyFill="1" applyBorder="1" applyProtection="1"/>
    <xf numFmtId="0" fontId="24" fillId="0" borderId="12" xfId="5" applyFill="1" applyBorder="1" applyProtection="1"/>
    <xf numFmtId="0" fontId="20" fillId="0" borderId="9" xfId="5" applyFont="1" applyBorder="1" applyProtection="1"/>
    <xf numFmtId="2" fontId="24" fillId="4" borderId="1" xfId="5" applyNumberFormat="1" applyFill="1" applyBorder="1" applyAlignment="1" applyProtection="1">
      <alignment horizontal="center" vertical="center" wrapText="1"/>
    </xf>
    <xf numFmtId="0" fontId="24" fillId="4" borderId="1" xfId="5" applyFill="1" applyBorder="1" applyAlignment="1" applyProtection="1">
      <alignment horizontal="center" vertical="center" wrapText="1"/>
    </xf>
    <xf numFmtId="0" fontId="24" fillId="0" borderId="11" xfId="5" applyFill="1" applyBorder="1" applyProtection="1"/>
    <xf numFmtId="0" fontId="24" fillId="0" borderId="9" xfId="5" applyFill="1" applyBorder="1" applyProtection="1"/>
    <xf numFmtId="0" fontId="24" fillId="0" borderId="0" xfId="5" applyFill="1" applyProtection="1"/>
    <xf numFmtId="0" fontId="24" fillId="0" borderId="0" xfId="5" applyFill="1" applyAlignment="1" applyProtection="1">
      <alignment horizontal="right"/>
    </xf>
    <xf numFmtId="1" fontId="24" fillId="4" borderId="1" xfId="5" applyNumberFormat="1" applyFill="1" applyBorder="1" applyAlignment="1" applyProtection="1">
      <alignment horizontal="center" vertical="center" wrapText="1"/>
    </xf>
    <xf numFmtId="0" fontId="24" fillId="0" borderId="12" xfId="5" applyFill="1" applyBorder="1" applyAlignment="1" applyProtection="1">
      <alignment horizontal="right"/>
    </xf>
    <xf numFmtId="0" fontId="24" fillId="0" borderId="0" xfId="5" applyFill="1" applyBorder="1" applyAlignment="1" applyProtection="1">
      <alignment horizontal="right"/>
    </xf>
    <xf numFmtId="164" fontId="24" fillId="4" borderId="1" xfId="5" applyNumberFormat="1" applyFill="1" applyBorder="1" applyAlignment="1" applyProtection="1">
      <alignment horizontal="center" vertical="center" wrapText="1"/>
    </xf>
    <xf numFmtId="0" fontId="24" fillId="4" borderId="38" xfId="5" applyFill="1" applyBorder="1" applyAlignment="1" applyProtection="1">
      <alignment horizontal="center" vertical="center" wrapText="1"/>
    </xf>
    <xf numFmtId="0" fontId="24" fillId="10" borderId="11" xfId="5" applyFill="1" applyBorder="1" applyAlignment="1" applyProtection="1">
      <alignment horizontal="center" vertical="center" wrapText="1"/>
      <protection locked="0" hidden="1"/>
    </xf>
    <xf numFmtId="0" fontId="4" fillId="10" borderId="47" xfId="5" applyFont="1" applyFill="1" applyBorder="1" applyAlignment="1" applyProtection="1">
      <alignment horizontal="center" vertical="center" wrapText="1"/>
    </xf>
    <xf numFmtId="0" fontId="20" fillId="10" borderId="47" xfId="5" applyFont="1" applyFill="1" applyBorder="1" applyAlignment="1" applyProtection="1">
      <alignment horizontal="center" vertical="center" wrapText="1"/>
    </xf>
    <xf numFmtId="0" fontId="24" fillId="10" borderId="11" xfId="5" applyFill="1" applyBorder="1" applyAlignment="1" applyProtection="1">
      <alignment horizontal="center" vertical="center" wrapText="1"/>
      <protection locked="0"/>
    </xf>
    <xf numFmtId="0" fontId="24" fillId="10" borderId="48" xfId="5" applyFill="1" applyBorder="1" applyAlignment="1" applyProtection="1">
      <alignment horizontal="center" vertical="center" wrapText="1"/>
    </xf>
    <xf numFmtId="0" fontId="24" fillId="0" borderId="16" xfId="5" applyFill="1" applyBorder="1" applyAlignment="1" applyProtection="1">
      <alignment horizontal="center"/>
    </xf>
    <xf numFmtId="0" fontId="24" fillId="10" borderId="24" xfId="5" applyFill="1" applyBorder="1" applyAlignment="1" applyProtection="1">
      <alignment horizontal="center" vertical="center" wrapText="1"/>
      <protection locked="0"/>
    </xf>
    <xf numFmtId="0" fontId="24" fillId="3" borderId="11" xfId="5" applyFill="1" applyBorder="1" applyAlignment="1" applyProtection="1">
      <alignment horizontal="center" vertical="center" wrapText="1"/>
      <protection locked="0"/>
    </xf>
    <xf numFmtId="0" fontId="24" fillId="3" borderId="48" xfId="5" applyFill="1" applyBorder="1" applyAlignment="1" applyProtection="1">
      <alignment horizontal="center" vertical="center" wrapText="1"/>
    </xf>
    <xf numFmtId="0" fontId="20" fillId="3" borderId="47" xfId="5" applyFont="1" applyFill="1" applyBorder="1" applyAlignment="1" applyProtection="1">
      <alignment horizontal="center" vertical="center" wrapText="1"/>
    </xf>
    <xf numFmtId="164" fontId="24" fillId="3" borderId="24" xfId="5" applyNumberFormat="1" applyFill="1" applyBorder="1" applyAlignment="1" applyProtection="1">
      <alignment horizontal="center" vertical="center" wrapText="1"/>
      <protection locked="0"/>
    </xf>
    <xf numFmtId="0" fontId="24" fillId="3" borderId="47" xfId="5" applyFill="1" applyBorder="1" applyAlignment="1" applyProtection="1">
      <alignment horizontal="center" vertical="center" wrapText="1"/>
    </xf>
    <xf numFmtId="0" fontId="4" fillId="11" borderId="24" xfId="5" applyFont="1" applyFill="1" applyBorder="1" applyAlignment="1" applyProtection="1">
      <alignment horizontal="center" vertical="center" wrapText="1"/>
      <protection locked="0"/>
    </xf>
    <xf numFmtId="0" fontId="24" fillId="11" borderId="47" xfId="5" applyFill="1" applyBorder="1" applyAlignment="1" applyProtection="1">
      <alignment horizontal="center" vertical="center" wrapText="1"/>
    </xf>
    <xf numFmtId="0" fontId="24" fillId="0" borderId="0" xfId="5" applyFill="1" applyAlignment="1" applyProtection="1">
      <alignment horizontal="center"/>
    </xf>
    <xf numFmtId="0" fontId="20" fillId="11" borderId="47" xfId="5" applyFont="1" applyFill="1" applyBorder="1" applyAlignment="1" applyProtection="1">
      <alignment horizontal="center" vertical="center" wrapText="1"/>
    </xf>
    <xf numFmtId="0" fontId="24" fillId="17" borderId="24" xfId="5" applyFill="1" applyBorder="1" applyAlignment="1" applyProtection="1">
      <alignment horizontal="center" vertical="center" wrapText="1"/>
      <protection locked="0"/>
    </xf>
    <xf numFmtId="0" fontId="24" fillId="17" borderId="47" xfId="5" applyFill="1" applyBorder="1" applyAlignment="1" applyProtection="1">
      <alignment horizontal="center" vertical="center" wrapText="1"/>
    </xf>
    <xf numFmtId="0" fontId="20" fillId="17" borderId="47" xfId="5" applyFont="1" applyFill="1" applyBorder="1" applyAlignment="1" applyProtection="1">
      <alignment horizontal="center" vertical="center" wrapText="1"/>
    </xf>
    <xf numFmtId="0" fontId="24" fillId="10" borderId="47" xfId="5" applyFill="1" applyBorder="1" applyAlignment="1" applyProtection="1">
      <alignment horizontal="center" vertical="center" wrapText="1"/>
    </xf>
    <xf numFmtId="0" fontId="4" fillId="17" borderId="24" xfId="5" applyFont="1" applyFill="1" applyBorder="1" applyAlignment="1" applyProtection="1">
      <alignment horizontal="center" vertical="center" wrapText="1"/>
      <protection locked="0"/>
    </xf>
    <xf numFmtId="0" fontId="24" fillId="3" borderId="24" xfId="5" applyFill="1" applyBorder="1" applyAlignment="1" applyProtection="1">
      <alignment horizontal="center" vertical="center" wrapText="1"/>
      <protection locked="0"/>
    </xf>
    <xf numFmtId="0" fontId="24" fillId="10" borderId="15" xfId="5" applyFill="1" applyBorder="1" applyAlignment="1" applyProtection="1">
      <alignment horizontal="center" vertical="center" wrapText="1"/>
      <protection locked="0"/>
    </xf>
    <xf numFmtId="0" fontId="24" fillId="10" borderId="48" xfId="5" applyFill="1" applyBorder="1" applyAlignment="1" applyProtection="1">
      <alignment horizontal="center" vertical="center" wrapText="1"/>
      <protection locked="0"/>
    </xf>
    <xf numFmtId="0" fontId="24" fillId="0" borderId="47" xfId="5" applyFill="1" applyBorder="1" applyProtection="1"/>
    <xf numFmtId="0" fontId="24" fillId="0" borderId="0" xfId="5" applyFill="1" applyAlignment="1" applyProtection="1">
      <alignment horizontal="right" vertical="center" wrapText="1"/>
    </xf>
    <xf numFmtId="1" fontId="20" fillId="17" borderId="48" xfId="5" applyNumberFormat="1" applyFont="1" applyFill="1" applyBorder="1" applyAlignment="1" applyProtection="1">
      <alignment horizontal="center" vertical="center" wrapText="1"/>
    </xf>
    <xf numFmtId="0" fontId="20" fillId="0" borderId="0" xfId="5" applyFont="1" applyFill="1" applyProtection="1"/>
    <xf numFmtId="1" fontId="20" fillId="17" borderId="17" xfId="5" applyNumberFormat="1" applyFont="1" applyFill="1" applyBorder="1" applyAlignment="1" applyProtection="1">
      <alignment horizontal="center" vertical="center" wrapText="1"/>
    </xf>
    <xf numFmtId="1" fontId="20" fillId="6" borderId="48" xfId="5" applyNumberFormat="1" applyFont="1" applyFill="1" applyBorder="1" applyAlignment="1" applyProtection="1">
      <alignment horizontal="center" vertical="center" wrapText="1"/>
    </xf>
    <xf numFmtId="0" fontId="20" fillId="6" borderId="47" xfId="5" applyFont="1" applyFill="1" applyBorder="1" applyAlignment="1" applyProtection="1">
      <alignment horizontal="right" vertical="center" wrapText="1"/>
    </xf>
    <xf numFmtId="0" fontId="20" fillId="0" borderId="47" xfId="5" applyFont="1" applyFill="1" applyBorder="1" applyAlignment="1" applyProtection="1">
      <alignment horizontal="center"/>
    </xf>
    <xf numFmtId="0" fontId="20" fillId="0" borderId="47" xfId="5" applyFont="1" applyBorder="1" applyAlignment="1" applyProtection="1">
      <alignment horizontal="right"/>
    </xf>
    <xf numFmtId="0" fontId="25" fillId="6" borderId="47" xfId="5" applyFont="1" applyFill="1" applyBorder="1" applyAlignment="1" applyProtection="1">
      <alignment horizontal="right" vertical="center" wrapText="1"/>
    </xf>
    <xf numFmtId="0" fontId="20" fillId="0" borderId="16" xfId="5" applyFont="1" applyBorder="1" applyAlignment="1" applyProtection="1">
      <alignment horizontal="center" vertical="center" wrapText="1"/>
    </xf>
    <xf numFmtId="0" fontId="24" fillId="0" borderId="24" xfId="5" applyFill="1" applyBorder="1" applyAlignment="1" applyProtection="1">
      <alignment horizontal="center" vertical="center"/>
    </xf>
    <xf numFmtId="0" fontId="26" fillId="0" borderId="47" xfId="5" applyFont="1" applyFill="1" applyBorder="1" applyAlignment="1" applyProtection="1">
      <alignment horizontal="center" vertical="center" wrapText="1"/>
    </xf>
    <xf numFmtId="0" fontId="27" fillId="0" borderId="0" xfId="5" applyFont="1" applyAlignment="1" applyProtection="1">
      <alignment horizontal="left"/>
    </xf>
    <xf numFmtId="0" fontId="0" fillId="0" borderId="0" xfId="0" applyFont="1"/>
    <xf numFmtId="0" fontId="0" fillId="0" borderId="0" xfId="0" applyFont="1" applyAlignment="1">
      <alignment horizontal="center"/>
    </xf>
    <xf numFmtId="3" fontId="0" fillId="0" borderId="0" xfId="0" applyNumberFormat="1"/>
    <xf numFmtId="0" fontId="20" fillId="0" borderId="0" xfId="5" applyFont="1" applyBorder="1" applyAlignment="1" applyProtection="1">
      <alignment horizontal="center" vertical="center" wrapText="1"/>
    </xf>
    <xf numFmtId="3" fontId="0" fillId="0" borderId="0" xfId="0" applyNumberFormat="1" applyFont="1" applyBorder="1" applyAlignment="1">
      <alignment horizontal="center" wrapText="1"/>
    </xf>
    <xf numFmtId="164" fontId="0" fillId="0" borderId="37" xfId="0" applyNumberFormat="1" applyBorder="1" applyAlignment="1" applyProtection="1">
      <alignment horizontal="center"/>
      <protection locked="0"/>
    </xf>
    <xf numFmtId="0" fontId="0" fillId="0" borderId="38" xfId="0" applyBorder="1" applyAlignment="1" applyProtection="1">
      <alignment horizontal="center"/>
      <protection locked="0"/>
    </xf>
    <xf numFmtId="164" fontId="0" fillId="0" borderId="49" xfId="0" applyNumberFormat="1" applyBorder="1" applyAlignment="1" applyProtection="1">
      <alignment horizontal="center"/>
      <protection locked="0"/>
    </xf>
    <xf numFmtId="164" fontId="0" fillId="0" borderId="22" xfId="0" applyNumberFormat="1" applyBorder="1" applyAlignment="1" applyProtection="1">
      <alignment horizontal="center"/>
      <protection locked="0"/>
    </xf>
    <xf numFmtId="0" fontId="0" fillId="0" borderId="34" xfId="0" applyBorder="1" applyAlignment="1" applyProtection="1">
      <alignment horizontal="center"/>
      <protection locked="0"/>
    </xf>
    <xf numFmtId="0" fontId="0" fillId="0" borderId="50" xfId="0" applyBorder="1" applyAlignment="1" applyProtection="1">
      <alignment horizontal="center"/>
      <protection locked="0"/>
    </xf>
    <xf numFmtId="164" fontId="0" fillId="0" borderId="35" xfId="0" applyNumberFormat="1" applyBorder="1" applyAlignment="1" applyProtection="1">
      <alignment horizontal="center"/>
      <protection locked="0"/>
    </xf>
    <xf numFmtId="0" fontId="0" fillId="4" borderId="43" xfId="0" applyFill="1" applyBorder="1" applyProtection="1"/>
    <xf numFmtId="0" fontId="0" fillId="4" borderId="2" xfId="0" applyFill="1" applyBorder="1" applyProtection="1"/>
    <xf numFmtId="0" fontId="0" fillId="13" borderId="2" xfId="0" applyFill="1" applyBorder="1" applyAlignment="1">
      <alignment horizontal="center" vertical="center" wrapText="1"/>
    </xf>
    <xf numFmtId="0" fontId="42" fillId="13" borderId="2" xfId="0" applyFont="1" applyFill="1" applyBorder="1" applyAlignment="1">
      <alignment horizontal="center" vertical="center" wrapText="1"/>
    </xf>
    <xf numFmtId="0" fontId="0" fillId="0" borderId="38" xfId="0" applyBorder="1" applyProtection="1">
      <protection locked="0"/>
    </xf>
    <xf numFmtId="0" fontId="0" fillId="15" borderId="38" xfId="0" applyFill="1" applyBorder="1" applyAlignment="1" applyProtection="1">
      <alignment horizontal="center"/>
    </xf>
    <xf numFmtId="0" fontId="0" fillId="15" borderId="4" xfId="0" applyFill="1" applyBorder="1" applyAlignment="1" applyProtection="1">
      <alignment horizontal="center"/>
    </xf>
    <xf numFmtId="0" fontId="0" fillId="15" borderId="1" xfId="0" applyFill="1" applyBorder="1" applyAlignment="1" applyProtection="1">
      <alignment horizontal="center"/>
    </xf>
    <xf numFmtId="0" fontId="0" fillId="15" borderId="34" xfId="0" applyFill="1" applyBorder="1" applyAlignment="1" applyProtection="1">
      <alignment horizontal="center"/>
    </xf>
    <xf numFmtId="0" fontId="5" fillId="0" borderId="9" xfId="0" applyFont="1" applyBorder="1"/>
    <xf numFmtId="0" fontId="0" fillId="4" borderId="10" xfId="0" applyFill="1" applyBorder="1" applyAlignment="1">
      <alignment horizontal="center"/>
    </xf>
    <xf numFmtId="0" fontId="5" fillId="0" borderId="10" xfId="0" applyFont="1" applyBorder="1"/>
    <xf numFmtId="0" fontId="3" fillId="0" borderId="10" xfId="0" applyFont="1" applyFill="1" applyBorder="1"/>
    <xf numFmtId="0" fontId="5" fillId="0" borderId="24" xfId="0" applyFont="1" applyBorder="1"/>
    <xf numFmtId="0" fontId="5" fillId="0" borderId="12" xfId="0" applyFont="1" applyBorder="1"/>
    <xf numFmtId="0" fontId="0" fillId="9" borderId="1" xfId="0" applyFill="1" applyBorder="1"/>
    <xf numFmtId="0" fontId="3" fillId="0" borderId="12" xfId="0" applyFont="1" applyBorder="1"/>
    <xf numFmtId="0" fontId="39" fillId="0" borderId="51" xfId="0" applyFont="1" applyBorder="1"/>
    <xf numFmtId="0" fontId="0" fillId="9" borderId="52" xfId="0" applyFill="1" applyBorder="1"/>
    <xf numFmtId="0" fontId="3" fillId="0" borderId="53" xfId="0" applyFont="1" applyBorder="1"/>
    <xf numFmtId="0" fontId="0" fillId="9" borderId="54" xfId="0" applyFill="1" applyBorder="1"/>
    <xf numFmtId="0" fontId="3" fillId="0" borderId="12" xfId="0" applyFont="1" applyBorder="1" applyAlignment="1">
      <alignment wrapText="1"/>
    </xf>
    <xf numFmtId="0" fontId="3" fillId="0" borderId="12" xfId="0" applyFont="1" applyBorder="1" applyAlignment="1" applyProtection="1">
      <alignment horizontal="right" wrapText="1"/>
      <protection locked="0"/>
    </xf>
    <xf numFmtId="0" fontId="3" fillId="0" borderId="12" xfId="0" applyFont="1" applyBorder="1" applyAlignment="1" applyProtection="1">
      <alignment horizontal="right"/>
      <protection locked="0"/>
    </xf>
    <xf numFmtId="0" fontId="3" fillId="0" borderId="51" xfId="0" applyFont="1" applyBorder="1"/>
    <xf numFmtId="0" fontId="5" fillId="0" borderId="53" xfId="0" applyFont="1" applyBorder="1"/>
    <xf numFmtId="0" fontId="0" fillId="9" borderId="46" xfId="0" applyFill="1" applyBorder="1"/>
    <xf numFmtId="0" fontId="5" fillId="0" borderId="51" xfId="0" applyFont="1" applyBorder="1"/>
    <xf numFmtId="0" fontId="0" fillId="9" borderId="55" xfId="0" applyFill="1" applyBorder="1"/>
    <xf numFmtId="0" fontId="3" fillId="0" borderId="12" xfId="0" applyFont="1" applyBorder="1" applyAlignment="1">
      <alignment horizontal="right" wrapText="1"/>
    </xf>
    <xf numFmtId="0" fontId="3" fillId="0" borderId="12" xfId="0" applyFont="1" applyBorder="1" applyAlignment="1">
      <alignment horizontal="right"/>
    </xf>
    <xf numFmtId="0" fontId="5" fillId="0" borderId="14" xfId="0" applyFont="1" applyBorder="1"/>
    <xf numFmtId="0" fontId="0" fillId="0" borderId="16" xfId="0" applyBorder="1"/>
    <xf numFmtId="0" fontId="0" fillId="6" borderId="56" xfId="0" applyFill="1" applyBorder="1"/>
    <xf numFmtId="0" fontId="0" fillId="2" borderId="56" xfId="0" applyFill="1" applyBorder="1"/>
    <xf numFmtId="0" fontId="0" fillId="3" borderId="56" xfId="0" applyFill="1" applyBorder="1"/>
    <xf numFmtId="0" fontId="0" fillId="9" borderId="57" xfId="0" applyFill="1" applyBorder="1"/>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2" fontId="24" fillId="0" borderId="0" xfId="5" applyNumberFormat="1" applyAlignment="1" applyProtection="1">
      <alignment horizontal="center"/>
    </xf>
    <xf numFmtId="1" fontId="24" fillId="0" borderId="0" xfId="5" applyNumberFormat="1" applyAlignment="1" applyProtection="1">
      <alignment horizontal="center"/>
    </xf>
    <xf numFmtId="0" fontId="20" fillId="0" borderId="47" xfId="5" applyFont="1" applyBorder="1" applyAlignment="1" applyProtection="1">
      <alignment horizontal="right" vertical="center" wrapText="1"/>
    </xf>
    <xf numFmtId="0" fontId="4" fillId="0" borderId="47" xfId="5" applyFont="1" applyBorder="1" applyAlignment="1" applyProtection="1">
      <alignment horizontal="center" vertical="center" wrapText="1"/>
    </xf>
    <xf numFmtId="0" fontId="24" fillId="0" borderId="47" xfId="5" applyBorder="1" applyAlignment="1" applyProtection="1">
      <alignment horizontal="center" vertical="center" wrapText="1"/>
    </xf>
    <xf numFmtId="0" fontId="4" fillId="0" borderId="48" xfId="5" applyFont="1" applyBorder="1" applyAlignment="1" applyProtection="1">
      <alignment horizontal="center" vertical="center" wrapText="1"/>
    </xf>
    <xf numFmtId="0" fontId="24" fillId="0" borderId="48" xfId="5" applyBorder="1" applyAlignment="1" applyProtection="1">
      <alignment horizontal="center" vertical="center" wrapText="1"/>
    </xf>
    <xf numFmtId="0" fontId="24" fillId="0" borderId="10" xfId="5" applyBorder="1" applyAlignment="1" applyProtection="1">
      <alignment horizontal="right"/>
    </xf>
    <xf numFmtId="0" fontId="24" fillId="0" borderId="3" xfId="5" applyFill="1" applyBorder="1" applyProtection="1"/>
    <xf numFmtId="0" fontId="20" fillId="0" borderId="16" xfId="5" applyFont="1" applyBorder="1" applyAlignment="1" applyProtection="1">
      <alignment horizontal="center"/>
    </xf>
    <xf numFmtId="0" fontId="20" fillId="0" borderId="15" xfId="5" applyFont="1" applyBorder="1" applyAlignment="1" applyProtection="1">
      <alignment horizontal="center"/>
    </xf>
    <xf numFmtId="0" fontId="20" fillId="0" borderId="0" xfId="5" applyFont="1" applyBorder="1" applyAlignment="1">
      <alignment horizontal="center" vertical="center" wrapText="1"/>
    </xf>
    <xf numFmtId="0" fontId="20" fillId="0" borderId="0" xfId="5" applyFont="1" applyBorder="1" applyAlignment="1">
      <alignment horizontal="left" vertical="center" wrapText="1"/>
    </xf>
    <xf numFmtId="0" fontId="20" fillId="6" borderId="47" xfId="5" applyFont="1" applyFill="1" applyBorder="1" applyAlignment="1" applyProtection="1">
      <alignment horizontal="center" vertical="center" wrapText="1"/>
    </xf>
    <xf numFmtId="0" fontId="20" fillId="6" borderId="47" xfId="5" applyFont="1" applyFill="1" applyBorder="1" applyAlignment="1" applyProtection="1">
      <alignment horizontal="left" vertical="center" wrapText="1"/>
    </xf>
    <xf numFmtId="0" fontId="20" fillId="16" borderId="47" xfId="5" applyFont="1" applyFill="1" applyBorder="1" applyAlignment="1" applyProtection="1">
      <alignment horizontal="center" vertical="center" wrapText="1"/>
    </xf>
    <xf numFmtId="0" fontId="20" fillId="16" borderId="47" xfId="5" applyFont="1" applyFill="1" applyBorder="1" applyAlignment="1" applyProtection="1">
      <alignment horizontal="left" vertical="center" wrapText="1"/>
    </xf>
    <xf numFmtId="0" fontId="20" fillId="0" borderId="0" xfId="5" applyFont="1" applyFill="1" applyBorder="1" applyAlignment="1" applyProtection="1">
      <alignment horizontal="center" vertical="center" wrapText="1"/>
    </xf>
    <xf numFmtId="0" fontId="20" fillId="0" borderId="0" xfId="5" applyFont="1" applyFill="1" applyBorder="1" applyAlignment="1" applyProtection="1">
      <alignment horizontal="left" vertical="center" wrapText="1"/>
    </xf>
    <xf numFmtId="0" fontId="24" fillId="0" borderId="0" xfId="5" applyAlignment="1">
      <alignment horizontal="left" vertical="justify" wrapText="1"/>
    </xf>
    <xf numFmtId="0" fontId="20" fillId="0" borderId="1" xfId="5" applyFont="1" applyBorder="1" applyAlignment="1">
      <alignment horizontal="center" vertical="center" wrapText="1"/>
    </xf>
    <xf numFmtId="0" fontId="24" fillId="10" borderId="1" xfId="5" applyFill="1" applyBorder="1" applyAlignment="1" applyProtection="1">
      <alignment horizontal="center" vertical="center" wrapText="1"/>
      <protection locked="0"/>
    </xf>
    <xf numFmtId="0" fontId="24" fillId="17" borderId="1" xfId="5" applyFill="1" applyBorder="1" applyAlignment="1" applyProtection="1">
      <alignment horizontal="center" vertical="center" wrapText="1"/>
      <protection locked="0"/>
    </xf>
    <xf numFmtId="0" fontId="24" fillId="0" borderId="0" xfId="5" applyFill="1" applyBorder="1" applyAlignment="1" applyProtection="1">
      <alignment horizontal="center" vertical="center" wrapText="1"/>
      <protection locked="0"/>
    </xf>
    <xf numFmtId="0" fontId="24" fillId="0" borderId="0" xfId="5" applyFill="1" applyBorder="1" applyAlignment="1" applyProtection="1">
      <alignment horizontal="left" vertical="center" wrapText="1"/>
      <protection locked="0"/>
    </xf>
    <xf numFmtId="0" fontId="20" fillId="0" borderId="0" xfId="5" applyFont="1" applyAlignment="1">
      <alignment horizontal="left"/>
    </xf>
    <xf numFmtId="0" fontId="20" fillId="0" borderId="0" xfId="5" applyFont="1" applyAlignment="1">
      <alignment horizontal="center"/>
    </xf>
    <xf numFmtId="0" fontId="24" fillId="10" borderId="1" xfId="5" applyFill="1" applyBorder="1" applyAlignment="1">
      <alignment horizontal="left" vertical="center" wrapText="1"/>
    </xf>
    <xf numFmtId="0" fontId="24" fillId="3" borderId="1" xfId="5" applyFill="1" applyBorder="1" applyAlignment="1">
      <alignment horizontal="left" vertical="center" wrapText="1"/>
    </xf>
    <xf numFmtId="0" fontId="24" fillId="17" borderId="1" xfId="5" applyFill="1" applyBorder="1" applyAlignment="1">
      <alignment horizontal="left" vertical="center" wrapText="1"/>
    </xf>
    <xf numFmtId="0" fontId="24" fillId="11" borderId="1" xfId="5" applyFill="1" applyBorder="1" applyAlignment="1">
      <alignment horizontal="left" vertical="center" wrapText="1"/>
    </xf>
    <xf numFmtId="0" fontId="20" fillId="3" borderId="61" xfId="5" applyFont="1" applyFill="1" applyBorder="1" applyAlignment="1" applyProtection="1">
      <alignment horizontal="center" vertical="center" wrapText="1"/>
    </xf>
    <xf numFmtId="0" fontId="24" fillId="3" borderId="3" xfId="5" applyFill="1" applyBorder="1" applyAlignment="1">
      <alignment horizontal="left"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16" xfId="0" applyBorder="1" applyAlignment="1">
      <alignment horizontal="center"/>
    </xf>
    <xf numFmtId="0" fontId="0" fillId="0" borderId="16" xfId="0" applyBorder="1" applyAlignment="1">
      <alignment horizontal="center" wrapText="1"/>
    </xf>
    <xf numFmtId="0" fontId="4" fillId="10" borderId="1" xfId="5" applyFont="1" applyFill="1" applyBorder="1" applyAlignment="1">
      <alignment horizontal="left" vertical="center" wrapText="1"/>
    </xf>
    <xf numFmtId="0" fontId="34" fillId="0" borderId="0" xfId="6" applyFont="1" applyProtection="1">
      <protection locked="0"/>
    </xf>
    <xf numFmtId="0" fontId="34" fillId="0" borderId="0" xfId="6" applyFont="1" applyBorder="1" applyProtection="1">
      <protection locked="0"/>
    </xf>
    <xf numFmtId="0" fontId="33" fillId="0" borderId="0" xfId="6"/>
    <xf numFmtId="0" fontId="33" fillId="0" borderId="0" xfId="6" applyFont="1"/>
    <xf numFmtId="0" fontId="7" fillId="4" borderId="13" xfId="0" applyFont="1" applyFill="1" applyBorder="1" applyAlignment="1">
      <alignment horizontal="center" vertical="center"/>
    </xf>
    <xf numFmtId="0" fontId="47" fillId="0" borderId="0" xfId="4"/>
    <xf numFmtId="0" fontId="47" fillId="0" borderId="0" xfId="4" applyBorder="1"/>
    <xf numFmtId="0" fontId="38" fillId="0" borderId="0" xfId="4" applyFont="1"/>
    <xf numFmtId="0" fontId="3" fillId="0" borderId="0" xfId="0" applyFont="1" applyBorder="1"/>
    <xf numFmtId="1" fontId="24" fillId="17" borderId="24" xfId="5" applyNumberFormat="1" applyFill="1" applyBorder="1" applyAlignment="1" applyProtection="1">
      <alignment horizontal="center" vertical="center" wrapText="1"/>
    </xf>
    <xf numFmtId="0" fontId="4" fillId="11" borderId="24" xfId="5" applyFont="1" applyFill="1" applyBorder="1" applyAlignment="1" applyProtection="1">
      <alignment horizontal="center" vertical="center" wrapText="1"/>
    </xf>
    <xf numFmtId="0" fontId="4" fillId="0" borderId="0" xfId="5" applyFont="1" applyProtection="1"/>
    <xf numFmtId="0" fontId="4" fillId="0" borderId="30" xfId="5" applyFont="1" applyBorder="1" applyProtection="1"/>
    <xf numFmtId="0" fontId="24" fillId="0" borderId="7" xfId="5" applyBorder="1"/>
    <xf numFmtId="0" fontId="24" fillId="0" borderId="43" xfId="5" applyBorder="1" applyProtection="1"/>
    <xf numFmtId="0" fontId="4" fillId="0" borderId="7" xfId="5" applyFont="1" applyBorder="1"/>
    <xf numFmtId="0" fontId="4" fillId="0" borderId="7" xfId="5" applyFont="1" applyBorder="1" applyProtection="1"/>
    <xf numFmtId="2" fontId="24" fillId="0" borderId="8" xfId="5" applyNumberFormat="1" applyBorder="1" applyProtection="1"/>
    <xf numFmtId="2" fontId="0" fillId="0" borderId="0" xfId="0" applyNumberFormat="1" applyFill="1" applyBorder="1"/>
    <xf numFmtId="0" fontId="0" fillId="0" borderId="0" xfId="0" applyFill="1" applyBorder="1" applyAlignment="1">
      <alignment horizontal="right"/>
    </xf>
    <xf numFmtId="0" fontId="3" fillId="0" borderId="3" xfId="0" applyFont="1" applyBorder="1"/>
    <xf numFmtId="0" fontId="5" fillId="0" borderId="38" xfId="0" applyFont="1" applyBorder="1" applyAlignment="1" applyProtection="1">
      <alignment horizontal="center"/>
      <protection locked="0"/>
    </xf>
    <xf numFmtId="0" fontId="0" fillId="0" borderId="0" xfId="0" applyFill="1" applyBorder="1" applyAlignment="1">
      <alignment horizontal="center"/>
    </xf>
    <xf numFmtId="0" fontId="0" fillId="2" borderId="38" xfId="0" applyFill="1" applyBorder="1" applyProtection="1"/>
    <xf numFmtId="167" fontId="34" fillId="0" borderId="0" xfId="6" applyNumberFormat="1" applyFont="1" applyProtection="1">
      <protection locked="0"/>
    </xf>
    <xf numFmtId="1" fontId="33" fillId="0" borderId="0" xfId="6" applyNumberFormat="1" applyFont="1"/>
    <xf numFmtId="1" fontId="34" fillId="0" borderId="0" xfId="6" applyNumberFormat="1" applyFont="1" applyProtection="1">
      <protection locked="0"/>
    </xf>
    <xf numFmtId="0" fontId="0" fillId="0" borderId="7" xfId="0" applyFill="1" applyBorder="1"/>
    <xf numFmtId="0" fontId="34" fillId="0" borderId="8" xfId="6" applyFont="1" applyBorder="1" applyProtection="1">
      <protection locked="0"/>
    </xf>
    <xf numFmtId="0" fontId="0" fillId="0" borderId="7" xfId="0" applyBorder="1"/>
    <xf numFmtId="2" fontId="0" fillId="0" borderId="7" xfId="0" applyNumberFormat="1" applyFill="1" applyBorder="1"/>
    <xf numFmtId="0" fontId="0" fillId="0" borderId="31" xfId="0" applyFill="1" applyBorder="1"/>
    <xf numFmtId="0" fontId="0" fillId="0" borderId="2" xfId="0" applyFill="1" applyBorder="1"/>
    <xf numFmtId="0" fontId="34" fillId="0" borderId="2" xfId="6" applyFont="1" applyBorder="1" applyProtection="1">
      <protection locked="0"/>
    </xf>
    <xf numFmtId="0" fontId="34" fillId="0" borderId="43" xfId="6" applyFont="1" applyBorder="1" applyProtection="1">
      <protection locked="0"/>
    </xf>
    <xf numFmtId="0" fontId="0" fillId="0" borderId="0" xfId="0" applyProtection="1"/>
    <xf numFmtId="0" fontId="34" fillId="0" borderId="7" xfId="6" applyFont="1" applyBorder="1" applyProtection="1"/>
    <xf numFmtId="0" fontId="34" fillId="0" borderId="27" xfId="6" applyFont="1" applyFill="1" applyBorder="1" applyProtection="1"/>
    <xf numFmtId="170" fontId="0" fillId="0" borderId="33" xfId="0" applyNumberFormat="1" applyBorder="1" applyAlignment="1" applyProtection="1">
      <alignment horizontal="center" vertical="center" wrapText="1"/>
    </xf>
    <xf numFmtId="0" fontId="38" fillId="0" borderId="0" xfId="4" quotePrefix="1" applyFont="1"/>
    <xf numFmtId="0" fontId="34" fillId="0" borderId="1" xfId="6" applyFont="1" applyBorder="1" applyProtection="1"/>
    <xf numFmtId="0" fontId="33" fillId="0" borderId="1" xfId="6" applyBorder="1" applyProtection="1"/>
    <xf numFmtId="170" fontId="0" fillId="3" borderId="1" xfId="0" applyNumberFormat="1" applyFill="1" applyBorder="1" applyAlignment="1" applyProtection="1">
      <alignment horizontal="center" vertical="center" wrapText="1"/>
    </xf>
    <xf numFmtId="170" fontId="0" fillId="3" borderId="33" xfId="0" applyNumberFormat="1" applyFill="1" applyBorder="1" applyAlignment="1" applyProtection="1">
      <alignment horizontal="center" vertical="center" wrapText="1"/>
    </xf>
    <xf numFmtId="164" fontId="0" fillId="3" borderId="1" xfId="0" applyNumberFormat="1" applyFill="1" applyBorder="1" applyProtection="1"/>
    <xf numFmtId="0" fontId="0" fillId="3" borderId="12" xfId="0" applyFill="1" applyBorder="1" applyProtection="1"/>
    <xf numFmtId="0" fontId="0" fillId="3" borderId="0" xfId="0" applyFill="1" applyBorder="1" applyProtection="1"/>
    <xf numFmtId="164" fontId="0" fillId="3" borderId="12" xfId="0" applyNumberFormat="1" applyFill="1" applyBorder="1" applyProtection="1"/>
    <xf numFmtId="0" fontId="0" fillId="3" borderId="14" xfId="0" applyFill="1" applyBorder="1" applyProtection="1"/>
    <xf numFmtId="0" fontId="0" fillId="3" borderId="16" xfId="0" applyFill="1" applyBorder="1" applyProtection="1"/>
    <xf numFmtId="164" fontId="0" fillId="3" borderId="14" xfId="0" applyNumberFormat="1" applyFill="1" applyBorder="1" applyProtection="1"/>
    <xf numFmtId="170" fontId="0" fillId="5" borderId="1" xfId="0" applyNumberFormat="1" applyFill="1" applyBorder="1" applyAlignment="1" applyProtection="1">
      <alignment horizontal="center" vertical="center" wrapText="1"/>
    </xf>
    <xf numFmtId="170" fontId="0" fillId="5" borderId="33" xfId="0" applyNumberFormat="1" applyFill="1" applyBorder="1" applyAlignment="1" applyProtection="1">
      <alignment horizontal="center" vertical="center" wrapText="1"/>
    </xf>
    <xf numFmtId="0" fontId="0" fillId="5" borderId="1" xfId="0" applyFill="1" applyBorder="1" applyProtection="1"/>
    <xf numFmtId="164" fontId="0" fillId="5" borderId="1" xfId="0" applyNumberFormat="1" applyFill="1" applyBorder="1" applyProtection="1"/>
    <xf numFmtId="0" fontId="0" fillId="5" borderId="12" xfId="0" applyFill="1" applyBorder="1" applyProtection="1"/>
    <xf numFmtId="0" fontId="0" fillId="5" borderId="14" xfId="0" applyFill="1" applyBorder="1" applyProtection="1"/>
    <xf numFmtId="0" fontId="0" fillId="5" borderId="0" xfId="0" applyFill="1" applyBorder="1" applyProtection="1"/>
    <xf numFmtId="0" fontId="0" fillId="5" borderId="12" xfId="0" applyFill="1" applyBorder="1"/>
    <xf numFmtId="0" fontId="0" fillId="5" borderId="16" xfId="0" applyFill="1" applyBorder="1" applyProtection="1"/>
    <xf numFmtId="0" fontId="0" fillId="5" borderId="14" xfId="0" applyFill="1" applyBorder="1"/>
    <xf numFmtId="170" fontId="0" fillId="2" borderId="1" xfId="0" applyNumberFormat="1" applyFill="1" applyBorder="1" applyAlignment="1" applyProtection="1">
      <alignment horizontal="center" vertical="center" wrapText="1"/>
    </xf>
    <xf numFmtId="170" fontId="0" fillId="2" borderId="33" xfId="0" applyNumberFormat="1" applyFill="1" applyBorder="1" applyAlignment="1" applyProtection="1">
      <alignment horizontal="center" vertical="center" wrapText="1"/>
    </xf>
    <xf numFmtId="2" fontId="0" fillId="2" borderId="1" xfId="0" applyNumberFormat="1" applyFill="1" applyBorder="1" applyProtection="1"/>
    <xf numFmtId="0" fontId="34" fillId="2" borderId="1" xfId="6" applyFont="1" applyFill="1" applyBorder="1" applyProtection="1"/>
    <xf numFmtId="0" fontId="0" fillId="2" borderId="1" xfId="0" applyFill="1" applyBorder="1" applyProtection="1"/>
    <xf numFmtId="164" fontId="0" fillId="2" borderId="1" xfId="0" applyNumberFormat="1" applyFill="1" applyBorder="1" applyProtection="1"/>
    <xf numFmtId="0" fontId="34" fillId="2" borderId="12" xfId="6" applyFont="1" applyFill="1" applyBorder="1" applyProtection="1"/>
    <xf numFmtId="0" fontId="34" fillId="2" borderId="0" xfId="6" applyFont="1" applyFill="1" applyBorder="1" applyProtection="1"/>
    <xf numFmtId="0" fontId="0" fillId="2" borderId="12" xfId="0" applyFill="1" applyBorder="1" applyProtection="1"/>
    <xf numFmtId="164" fontId="0" fillId="2" borderId="12" xfId="0" applyNumberFormat="1" applyFill="1" applyBorder="1" applyProtection="1"/>
    <xf numFmtId="0" fontId="33" fillId="2" borderId="14" xfId="6" applyFill="1" applyBorder="1" applyProtection="1"/>
    <xf numFmtId="0" fontId="34" fillId="2" borderId="16" xfId="6" applyFont="1" applyFill="1" applyBorder="1" applyProtection="1"/>
    <xf numFmtId="0" fontId="0" fillId="2" borderId="14" xfId="0" applyFill="1" applyBorder="1" applyProtection="1"/>
    <xf numFmtId="164" fontId="0" fillId="2" borderId="14" xfId="0" applyNumberFormat="1" applyFill="1" applyBorder="1" applyProtection="1"/>
    <xf numFmtId="0" fontId="34" fillId="2" borderId="1" xfId="6" applyFont="1" applyFill="1" applyBorder="1" applyProtection="1">
      <protection locked="0"/>
    </xf>
    <xf numFmtId="170" fontId="0" fillId="12" borderId="33" xfId="0" applyNumberFormat="1" applyFill="1" applyBorder="1" applyAlignment="1" applyProtection="1">
      <alignment horizontal="center" vertical="center" wrapText="1"/>
    </xf>
    <xf numFmtId="0" fontId="34" fillId="12" borderId="1" xfId="6" applyFont="1" applyFill="1" applyBorder="1" applyProtection="1"/>
    <xf numFmtId="0" fontId="33" fillId="12" borderId="1" xfId="6" applyFill="1" applyBorder="1" applyProtection="1"/>
    <xf numFmtId="0" fontId="0" fillId="12" borderId="12" xfId="0" applyFill="1" applyBorder="1" applyProtection="1"/>
    <xf numFmtId="0" fontId="0" fillId="12" borderId="14" xfId="0" applyFill="1" applyBorder="1" applyProtection="1"/>
    <xf numFmtId="0" fontId="0" fillId="12" borderId="1" xfId="0" applyFill="1" applyBorder="1" applyProtection="1">
      <protection locked="0"/>
    </xf>
    <xf numFmtId="0" fontId="0" fillId="5" borderId="33" xfId="0" applyFill="1" applyBorder="1"/>
    <xf numFmtId="0" fontId="0" fillId="5" borderId="33" xfId="0" applyFill="1" applyBorder="1" applyProtection="1">
      <protection locked="0"/>
    </xf>
    <xf numFmtId="0" fontId="5" fillId="0" borderId="46" xfId="0" applyFont="1" applyBorder="1" applyAlignment="1" applyProtection="1">
      <alignment horizontal="center"/>
      <protection locked="0"/>
    </xf>
    <xf numFmtId="0" fontId="24" fillId="17" borderId="47" xfId="5" applyFont="1" applyFill="1" applyBorder="1" applyAlignment="1" applyProtection="1">
      <alignment horizontal="center" vertical="center" wrapText="1"/>
    </xf>
    <xf numFmtId="0" fontId="24" fillId="17" borderId="24" xfId="5" applyFill="1" applyBorder="1" applyAlignment="1" applyProtection="1">
      <alignment horizontal="center" vertical="center" wrapText="1"/>
    </xf>
    <xf numFmtId="0" fontId="24" fillId="16" borderId="44" xfId="5" applyFont="1" applyFill="1" applyBorder="1" applyAlignment="1" applyProtection="1">
      <alignment horizontal="center" vertical="center" wrapText="1"/>
    </xf>
    <xf numFmtId="0" fontId="20" fillId="19" borderId="47" xfId="5" applyFont="1" applyFill="1" applyBorder="1" applyAlignment="1" applyProtection="1">
      <alignment horizontal="center" vertical="center" wrapText="1"/>
    </xf>
    <xf numFmtId="0" fontId="24" fillId="19" borderId="0" xfId="5" applyFill="1" applyProtection="1"/>
    <xf numFmtId="0" fontId="24" fillId="19" borderId="47" xfId="5" applyFill="1" applyBorder="1" applyAlignment="1" applyProtection="1">
      <alignment horizontal="center" vertical="center" wrapText="1"/>
    </xf>
    <xf numFmtId="0" fontId="24" fillId="19" borderId="47" xfId="5" applyFont="1" applyFill="1" applyBorder="1" applyAlignment="1" applyProtection="1">
      <alignment horizontal="center" vertical="center" wrapText="1"/>
    </xf>
    <xf numFmtId="1" fontId="24" fillId="19" borderId="24" xfId="5" applyNumberFormat="1" applyFill="1" applyBorder="1" applyAlignment="1" applyProtection="1">
      <alignment horizontal="center" vertical="center" wrapText="1"/>
    </xf>
    <xf numFmtId="0" fontId="4" fillId="19" borderId="24" xfId="5" applyFont="1" applyFill="1" applyBorder="1" applyAlignment="1" applyProtection="1">
      <alignment horizontal="center" vertical="center" wrapText="1"/>
      <protection locked="0"/>
    </xf>
    <xf numFmtId="0" fontId="24" fillId="19" borderId="24" xfId="5" applyFill="1" applyBorder="1" applyAlignment="1" applyProtection="1">
      <alignment horizontal="center" vertical="center" wrapText="1"/>
      <protection locked="0"/>
    </xf>
    <xf numFmtId="0" fontId="24" fillId="19" borderId="24" xfId="5" applyFill="1" applyBorder="1" applyAlignment="1" applyProtection="1">
      <alignment horizontal="center" vertical="center" wrapText="1"/>
    </xf>
    <xf numFmtId="0" fontId="24" fillId="17" borderId="1" xfId="5" applyFont="1" applyFill="1" applyBorder="1" applyAlignment="1">
      <alignment horizontal="left" vertical="center" wrapText="1"/>
    </xf>
    <xf numFmtId="0" fontId="20" fillId="0" borderId="33" xfId="5" applyFont="1" applyBorder="1" applyAlignment="1">
      <alignment horizontal="center" vertical="center" wrapText="1"/>
    </xf>
    <xf numFmtId="0" fontId="20" fillId="0" borderId="24" xfId="5" applyFont="1" applyBorder="1" applyAlignment="1">
      <alignment horizontal="center" vertical="center" wrapText="1"/>
    </xf>
    <xf numFmtId="0" fontId="20" fillId="0" borderId="2" xfId="5" applyFont="1" applyBorder="1" applyAlignment="1">
      <alignment horizontal="left" vertical="center" wrapText="1"/>
    </xf>
    <xf numFmtId="0" fontId="20" fillId="0" borderId="14" xfId="5" applyFont="1" applyFill="1" applyBorder="1" applyAlignment="1" applyProtection="1">
      <alignment horizontal="left" vertical="center" wrapText="1"/>
    </xf>
    <xf numFmtId="0" fontId="20" fillId="0" borderId="15" xfId="5" applyFont="1" applyFill="1" applyBorder="1" applyAlignment="1" applyProtection="1">
      <alignment horizontal="left" vertical="center" wrapText="1"/>
    </xf>
    <xf numFmtId="0" fontId="20" fillId="7" borderId="0" xfId="5"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32" fillId="0" borderId="0" xfId="5" applyFont="1" applyFill="1" applyBorder="1" applyAlignment="1">
      <alignment horizontal="center" vertical="top" wrapText="1"/>
    </xf>
    <xf numFmtId="0" fontId="20" fillId="0" borderId="1" xfId="5" applyFont="1" applyBorder="1" applyAlignment="1">
      <alignment horizontal="center" vertical="center" wrapText="1"/>
    </xf>
    <xf numFmtId="0" fontId="24" fillId="0" borderId="1" xfId="5" applyBorder="1" applyAlignment="1"/>
    <xf numFmtId="0" fontId="20" fillId="0" borderId="0" xfId="5" applyFont="1" applyBorder="1" applyAlignment="1">
      <alignment horizontal="center" vertical="top" wrapText="1"/>
    </xf>
    <xf numFmtId="0" fontId="31" fillId="0" borderId="0" xfId="5" applyFont="1" applyBorder="1" applyAlignment="1">
      <alignment horizontal="center" vertical="top" wrapText="1"/>
    </xf>
    <xf numFmtId="0" fontId="35" fillId="13" borderId="0" xfId="5" applyFont="1" applyFill="1" applyBorder="1" applyAlignment="1">
      <alignment horizontal="center" vertical="center" wrapText="1"/>
    </xf>
    <xf numFmtId="0" fontId="17" fillId="13" borderId="0" xfId="5" applyFont="1" applyFill="1" applyBorder="1" applyAlignment="1">
      <alignment horizontal="center" vertical="center"/>
    </xf>
    <xf numFmtId="0" fontId="4" fillId="4" borderId="22" xfId="3" applyFont="1" applyFill="1" applyBorder="1"/>
    <xf numFmtId="0" fontId="4" fillId="4" borderId="34" xfId="3" applyFont="1" applyFill="1" applyBorder="1"/>
    <xf numFmtId="0" fontId="4" fillId="0" borderId="34" xfId="3" applyFont="1" applyBorder="1" applyProtection="1">
      <protection locked="0"/>
    </xf>
    <xf numFmtId="0" fontId="4" fillId="0" borderId="35" xfId="3" applyFont="1" applyBorder="1" applyProtection="1">
      <protection locked="0"/>
    </xf>
    <xf numFmtId="0" fontId="4" fillId="4" borderId="37" xfId="3" applyFont="1" applyFill="1" applyBorder="1"/>
    <xf numFmtId="0" fontId="4" fillId="4" borderId="38" xfId="3" applyFont="1" applyFill="1" applyBorder="1"/>
    <xf numFmtId="0" fontId="4" fillId="0" borderId="38" xfId="3" applyFont="1" applyBorder="1" applyProtection="1">
      <protection locked="0"/>
    </xf>
    <xf numFmtId="0" fontId="4" fillId="0" borderId="49" xfId="3" applyFont="1" applyBorder="1" applyProtection="1">
      <protection locked="0"/>
    </xf>
    <xf numFmtId="0" fontId="4" fillId="4" borderId="1" xfId="3" applyFont="1" applyFill="1" applyBorder="1"/>
    <xf numFmtId="0" fontId="4" fillId="4" borderId="28" xfId="3" applyFont="1" applyFill="1" applyBorder="1"/>
    <xf numFmtId="0" fontId="4" fillId="4" borderId="21" xfId="3" applyFont="1" applyFill="1" applyBorder="1"/>
    <xf numFmtId="0" fontId="4" fillId="0" borderId="1" xfId="3" applyFont="1" applyBorder="1" applyProtection="1">
      <protection locked="0"/>
    </xf>
    <xf numFmtId="0" fontId="4" fillId="0" borderId="28" xfId="3" applyFont="1" applyBorder="1" applyProtection="1">
      <protection locked="0"/>
    </xf>
    <xf numFmtId="0" fontId="4" fillId="4" borderId="33" xfId="3" applyFont="1" applyFill="1" applyBorder="1"/>
    <xf numFmtId="0" fontId="4" fillId="4" borderId="24" xfId="3" applyFont="1" applyFill="1" applyBorder="1"/>
    <xf numFmtId="0" fontId="4" fillId="0" borderId="33" xfId="3" applyFont="1" applyBorder="1" applyProtection="1">
      <protection locked="0"/>
    </xf>
    <xf numFmtId="0" fontId="4" fillId="0" borderId="24" xfId="3" applyFont="1" applyBorder="1" applyProtection="1">
      <protection locked="0"/>
    </xf>
    <xf numFmtId="0" fontId="19" fillId="4" borderId="27" xfId="3" applyFont="1" applyFill="1" applyBorder="1"/>
    <xf numFmtId="0" fontId="19" fillId="4" borderId="16" xfId="3" applyFont="1" applyFill="1" applyBorder="1"/>
    <xf numFmtId="0" fontId="19" fillId="4" borderId="62" xfId="3" applyFont="1" applyFill="1" applyBorder="1"/>
    <xf numFmtId="0" fontId="19" fillId="4" borderId="75" xfId="3" applyFont="1" applyFill="1" applyBorder="1"/>
    <xf numFmtId="0" fontId="19" fillId="4" borderId="76" xfId="3" applyFont="1" applyFill="1" applyBorder="1"/>
    <xf numFmtId="0" fontId="19" fillId="4" borderId="77" xfId="3" applyFont="1" applyFill="1" applyBorder="1"/>
    <xf numFmtId="0" fontId="4" fillId="4" borderId="14" xfId="3" applyFont="1" applyFill="1" applyBorder="1"/>
    <xf numFmtId="0" fontId="4" fillId="4" borderId="16" xfId="3" applyFont="1" applyFill="1" applyBorder="1"/>
    <xf numFmtId="0" fontId="4" fillId="0" borderId="14" xfId="3" applyFont="1" applyBorder="1" applyProtection="1">
      <protection locked="0"/>
    </xf>
    <xf numFmtId="0" fontId="4" fillId="0" borderId="62" xfId="3" applyFont="1" applyBorder="1" applyProtection="1">
      <protection locked="0"/>
    </xf>
    <xf numFmtId="0" fontId="21" fillId="9" borderId="23" xfId="3" applyFont="1" applyFill="1" applyBorder="1" applyAlignment="1">
      <alignment horizontal="left"/>
    </xf>
    <xf numFmtId="0" fontId="4" fillId="0" borderId="23" xfId="3" applyBorder="1" applyAlignment="1">
      <alignment horizontal="left"/>
    </xf>
    <xf numFmtId="0" fontId="4" fillId="0" borderId="68" xfId="3" applyBorder="1" applyAlignment="1">
      <alignment horizontal="left"/>
    </xf>
    <xf numFmtId="0" fontId="4" fillId="4" borderId="15" xfId="3" applyFont="1" applyFill="1" applyBorder="1"/>
    <xf numFmtId="0" fontId="4" fillId="0" borderId="14" xfId="3" applyFont="1" applyFill="1" applyBorder="1" applyProtection="1">
      <protection locked="0"/>
    </xf>
    <xf numFmtId="0" fontId="4" fillId="0" borderId="15" xfId="3" applyFont="1" applyFill="1" applyBorder="1" applyProtection="1">
      <protection locked="0"/>
    </xf>
    <xf numFmtId="0" fontId="23" fillId="4" borderId="33" xfId="3" applyFont="1" applyFill="1" applyBorder="1"/>
    <xf numFmtId="0" fontId="23" fillId="4" borderId="24" xfId="3" applyFont="1" applyFill="1" applyBorder="1"/>
    <xf numFmtId="0" fontId="21" fillId="9" borderId="33" xfId="3" applyFont="1" applyFill="1" applyBorder="1" applyAlignment="1">
      <alignment horizontal="left"/>
    </xf>
    <xf numFmtId="0" fontId="4" fillId="9" borderId="23" xfId="3" applyFill="1" applyBorder="1" applyAlignment="1"/>
    <xf numFmtId="0" fontId="4" fillId="0" borderId="23" xfId="3" applyBorder="1" applyAlignment="1"/>
    <xf numFmtId="0" fontId="4" fillId="0" borderId="24" xfId="3" applyBorder="1" applyAlignment="1"/>
    <xf numFmtId="0" fontId="19" fillId="4" borderId="7" xfId="3" applyFont="1" applyFill="1" applyBorder="1" applyAlignment="1">
      <alignment wrapText="1"/>
    </xf>
    <xf numFmtId="0" fontId="4" fillId="0" borderId="0" xfId="3" applyAlignment="1">
      <alignment wrapText="1"/>
    </xf>
    <xf numFmtId="49" fontId="4" fillId="0" borderId="65" xfId="3" applyNumberFormat="1" applyFont="1" applyBorder="1" applyAlignment="1" applyProtection="1">
      <alignment horizontal="left" vertical="top" wrapText="1"/>
      <protection locked="0"/>
    </xf>
    <xf numFmtId="0" fontId="4" fillId="0" borderId="10" xfId="3" applyBorder="1" applyAlignment="1">
      <alignment horizontal="left" vertical="top" wrapText="1"/>
    </xf>
    <xf numFmtId="0" fontId="4" fillId="0" borderId="66" xfId="3" applyBorder="1" applyAlignment="1">
      <alignment horizontal="left" vertical="top" wrapText="1"/>
    </xf>
    <xf numFmtId="0" fontId="4" fillId="0" borderId="7" xfId="3" applyBorder="1" applyAlignment="1">
      <alignment horizontal="left" vertical="top" wrapText="1"/>
    </xf>
    <xf numFmtId="0" fontId="4" fillId="0" borderId="0" xfId="3" applyAlignment="1">
      <alignment horizontal="left" vertical="top" wrapText="1"/>
    </xf>
    <xf numFmtId="0" fontId="4" fillId="0" borderId="8" xfId="3" applyBorder="1" applyAlignment="1">
      <alignment horizontal="left" vertical="top" wrapText="1"/>
    </xf>
    <xf numFmtId="0" fontId="4" fillId="0" borderId="31" xfId="3" applyBorder="1" applyAlignment="1">
      <alignment horizontal="left" vertical="top" wrapText="1"/>
    </xf>
    <xf numFmtId="0" fontId="4" fillId="0" borderId="2" xfId="3" applyBorder="1" applyAlignment="1">
      <alignment horizontal="left" vertical="top" wrapText="1"/>
    </xf>
    <xf numFmtId="0" fontId="4" fillId="0" borderId="43" xfId="3" applyBorder="1" applyAlignment="1">
      <alignment horizontal="left" vertical="top" wrapText="1"/>
    </xf>
    <xf numFmtId="0" fontId="19" fillId="4" borderId="38" xfId="3" applyFont="1" applyFill="1" applyBorder="1"/>
    <xf numFmtId="0" fontId="19" fillId="4" borderId="15" xfId="3" applyFont="1" applyFill="1" applyBorder="1"/>
    <xf numFmtId="0" fontId="19" fillId="4" borderId="49" xfId="3" applyFont="1" applyFill="1" applyBorder="1"/>
    <xf numFmtId="0" fontId="19" fillId="4" borderId="72" xfId="3" applyFont="1" applyFill="1" applyBorder="1"/>
    <xf numFmtId="0" fontId="19" fillId="4" borderId="73" xfId="3" applyFont="1" applyFill="1" applyBorder="1"/>
    <xf numFmtId="0" fontId="19" fillId="4" borderId="74" xfId="3" applyFont="1" applyFill="1" applyBorder="1"/>
    <xf numFmtId="0" fontId="19" fillId="9" borderId="12" xfId="3" applyFont="1" applyFill="1" applyBorder="1" applyAlignment="1">
      <alignment wrapText="1"/>
    </xf>
    <xf numFmtId="0" fontId="0" fillId="0" borderId="0" xfId="0" applyAlignment="1">
      <alignment wrapText="1"/>
    </xf>
    <xf numFmtId="0" fontId="0" fillId="0" borderId="12" xfId="0" applyBorder="1" applyAlignment="1">
      <alignment wrapText="1"/>
    </xf>
    <xf numFmtId="49" fontId="20" fillId="13" borderId="7" xfId="3" applyNumberFormat="1" applyFont="1" applyFill="1" applyBorder="1" applyAlignment="1" applyProtection="1">
      <alignment horizontal="left" vertical="top" wrapText="1"/>
      <protection locked="0"/>
    </xf>
    <xf numFmtId="0" fontId="20" fillId="13" borderId="0" xfId="3" applyFont="1" applyFill="1" applyBorder="1" applyAlignment="1">
      <alignment horizontal="left" vertical="top" wrapText="1"/>
    </xf>
    <xf numFmtId="0" fontId="20" fillId="13" borderId="8" xfId="3" applyFont="1" applyFill="1" applyBorder="1" applyAlignment="1">
      <alignment horizontal="left" vertical="top" wrapText="1"/>
    </xf>
    <xf numFmtId="0" fontId="4" fillId="0" borderId="27" xfId="3" applyBorder="1" applyAlignment="1">
      <alignment horizontal="left" vertical="top" wrapText="1"/>
    </xf>
    <xf numFmtId="0" fontId="4" fillId="0" borderId="16" xfId="3" applyBorder="1" applyAlignment="1">
      <alignment horizontal="left" vertical="top" wrapText="1"/>
    </xf>
    <xf numFmtId="0" fontId="4" fillId="0" borderId="62" xfId="3" applyBorder="1" applyAlignment="1">
      <alignment horizontal="left" vertical="top" wrapText="1"/>
    </xf>
    <xf numFmtId="0" fontId="4" fillId="0" borderId="65" xfId="3" applyBorder="1" applyAlignment="1">
      <alignment horizontal="left" vertical="top" wrapText="1"/>
    </xf>
    <xf numFmtId="0" fontId="4" fillId="4" borderId="69" xfId="3" applyFont="1" applyFill="1" applyBorder="1"/>
    <xf numFmtId="0" fontId="4" fillId="4" borderId="70" xfId="3" applyFont="1" applyFill="1" applyBorder="1"/>
    <xf numFmtId="167" fontId="4" fillId="0" borderId="50" xfId="1" applyNumberFormat="1" applyFont="1" applyBorder="1" applyAlignment="1" applyProtection="1">
      <alignment horizontal="center"/>
      <protection locked="0"/>
    </xf>
    <xf numFmtId="167" fontId="4" fillId="0" borderId="71" xfId="1" applyNumberFormat="1" applyFont="1" applyBorder="1" applyAlignment="1" applyProtection="1">
      <alignment horizontal="center"/>
      <protection locked="0"/>
    </xf>
    <xf numFmtId="0" fontId="4" fillId="4" borderId="67" xfId="3" applyFont="1" applyFill="1" applyBorder="1"/>
    <xf numFmtId="167" fontId="4" fillId="0" borderId="33" xfId="1" applyNumberFormat="1" applyFont="1" applyBorder="1" applyAlignment="1" applyProtection="1">
      <alignment horizontal="center"/>
      <protection locked="0"/>
    </xf>
    <xf numFmtId="167" fontId="4" fillId="0" borderId="68" xfId="1" applyNumberFormat="1" applyFont="1" applyBorder="1" applyAlignment="1" applyProtection="1">
      <alignment horizontal="center"/>
      <protection locked="0"/>
    </xf>
    <xf numFmtId="0" fontId="19" fillId="4" borderId="63" xfId="3" applyFont="1" applyFill="1" applyBorder="1"/>
    <xf numFmtId="0" fontId="19" fillId="4" borderId="64" xfId="3" applyFont="1" applyFill="1" applyBorder="1"/>
    <xf numFmtId="0" fontId="19" fillId="4" borderId="26" xfId="3" applyFont="1" applyFill="1" applyBorder="1"/>
    <xf numFmtId="0" fontId="4" fillId="0" borderId="31" xfId="3" applyFont="1" applyBorder="1" applyAlignment="1" applyProtection="1">
      <alignment horizontal="left" vertical="top" wrapText="1"/>
      <protection locked="0"/>
    </xf>
    <xf numFmtId="0" fontId="4" fillId="0" borderId="2" xfId="3" applyFont="1" applyBorder="1" applyAlignment="1" applyProtection="1">
      <alignment horizontal="left" vertical="top" wrapText="1"/>
      <protection locked="0"/>
    </xf>
    <xf numFmtId="0" fontId="4" fillId="0" borderId="34" xfId="3" applyFont="1" applyBorder="1" applyAlignment="1" applyProtection="1">
      <alignment horizontal="left"/>
      <protection locked="0"/>
    </xf>
    <xf numFmtId="0" fontId="4" fillId="0" borderId="35" xfId="3" applyFont="1" applyBorder="1" applyAlignment="1" applyProtection="1">
      <alignment horizontal="left"/>
      <protection locked="0"/>
    </xf>
    <xf numFmtId="0" fontId="4" fillId="4" borderId="20" xfId="3" applyFont="1" applyFill="1" applyBorder="1" applyProtection="1"/>
    <xf numFmtId="0" fontId="4" fillId="4" borderId="4" xfId="3" applyFont="1" applyFill="1" applyBorder="1" applyProtection="1"/>
    <xf numFmtId="0" fontId="4" fillId="4" borderId="32" xfId="3" applyFont="1" applyFill="1" applyBorder="1" applyProtection="1"/>
    <xf numFmtId="49" fontId="4" fillId="0" borderId="10" xfId="3" applyNumberFormat="1" applyFont="1" applyBorder="1" applyAlignment="1" applyProtection="1">
      <alignment horizontal="left" vertical="top" wrapText="1"/>
      <protection locked="0"/>
    </xf>
    <xf numFmtId="49" fontId="4" fillId="0" borderId="66" xfId="3" applyNumberFormat="1" applyFont="1" applyBorder="1" applyAlignment="1" applyProtection="1">
      <alignment horizontal="left" vertical="top" wrapText="1"/>
      <protection locked="0"/>
    </xf>
    <xf numFmtId="49" fontId="4" fillId="0" borderId="7" xfId="3" applyNumberFormat="1" applyFont="1" applyBorder="1" applyAlignment="1" applyProtection="1">
      <alignment horizontal="left" vertical="top" wrapText="1"/>
      <protection locked="0"/>
    </xf>
    <xf numFmtId="49" fontId="4" fillId="0" borderId="0" xfId="3" applyNumberFormat="1" applyFont="1" applyBorder="1" applyAlignment="1" applyProtection="1">
      <alignment horizontal="left" vertical="top" wrapText="1"/>
      <protection locked="0"/>
    </xf>
    <xf numFmtId="49" fontId="4" fillId="0" borderId="8" xfId="3" applyNumberFormat="1" applyFont="1" applyBorder="1" applyAlignment="1" applyProtection="1">
      <alignment horizontal="left" vertical="top" wrapText="1"/>
      <protection locked="0"/>
    </xf>
    <xf numFmtId="49" fontId="4" fillId="0" borderId="31" xfId="3" applyNumberFormat="1" applyFont="1" applyBorder="1" applyAlignment="1" applyProtection="1">
      <alignment horizontal="left" vertical="top" wrapText="1"/>
      <protection locked="0"/>
    </xf>
    <xf numFmtId="49" fontId="4" fillId="0" borderId="2" xfId="3" applyNumberFormat="1" applyFont="1" applyBorder="1" applyAlignment="1" applyProtection="1">
      <alignment horizontal="left" vertical="top" wrapText="1"/>
      <protection locked="0"/>
    </xf>
    <xf numFmtId="49" fontId="4" fillId="0" borderId="43" xfId="3" applyNumberFormat="1" applyFont="1" applyBorder="1" applyAlignment="1" applyProtection="1">
      <alignment horizontal="left" vertical="top" wrapText="1"/>
      <protection locked="0"/>
    </xf>
    <xf numFmtId="0" fontId="4" fillId="0" borderId="65" xfId="3" applyFont="1" applyBorder="1" applyAlignment="1" applyProtection="1">
      <alignment horizontal="left" vertical="top" wrapText="1"/>
      <protection locked="0"/>
    </xf>
    <xf numFmtId="0" fontId="4" fillId="0" borderId="10" xfId="3" applyFont="1" applyBorder="1" applyAlignment="1" applyProtection="1">
      <alignment horizontal="left" vertical="top" wrapText="1"/>
      <protection locked="0"/>
    </xf>
    <xf numFmtId="0" fontId="4" fillId="0" borderId="1" xfId="3" applyFont="1" applyBorder="1" applyAlignment="1" applyProtection="1">
      <alignment horizontal="left"/>
      <protection locked="0"/>
    </xf>
    <xf numFmtId="0" fontId="4" fillId="0" borderId="28" xfId="3" applyFont="1" applyBorder="1" applyAlignment="1" applyProtection="1">
      <alignment horizontal="left"/>
      <protection locked="0"/>
    </xf>
    <xf numFmtId="0" fontId="4" fillId="0" borderId="7" xfId="3" applyFont="1" applyBorder="1" applyAlignment="1" applyProtection="1">
      <alignment horizontal="left"/>
      <protection locked="0"/>
    </xf>
    <xf numFmtId="0" fontId="4" fillId="0" borderId="0" xfId="3" applyFont="1" applyBorder="1" applyAlignment="1" applyProtection="1">
      <alignment horizontal="left"/>
      <protection locked="0"/>
    </xf>
    <xf numFmtId="0" fontId="4" fillId="4" borderId="63" xfId="3" applyFont="1" applyFill="1" applyBorder="1"/>
    <xf numFmtId="0" fontId="4" fillId="4" borderId="64" xfId="3" applyFont="1" applyFill="1" applyBorder="1"/>
    <xf numFmtId="166" fontId="4" fillId="0" borderId="4" xfId="3" applyNumberFormat="1" applyFont="1" applyBorder="1" applyAlignment="1" applyProtection="1">
      <alignment horizontal="left"/>
      <protection locked="0"/>
    </xf>
    <xf numFmtId="166" fontId="4" fillId="0" borderId="32" xfId="3" applyNumberFormat="1" applyFont="1" applyBorder="1" applyAlignment="1" applyProtection="1">
      <alignment horizontal="left"/>
      <protection locked="0"/>
    </xf>
    <xf numFmtId="0" fontId="4" fillId="0" borderId="27" xfId="3" applyFont="1" applyBorder="1" applyAlignment="1" applyProtection="1">
      <alignment horizontal="left"/>
      <protection locked="0"/>
    </xf>
    <xf numFmtId="0" fontId="4" fillId="0" borderId="16" xfId="3" applyFont="1" applyBorder="1" applyAlignment="1" applyProtection="1">
      <alignment horizontal="left"/>
      <protection locked="0"/>
    </xf>
    <xf numFmtId="0" fontId="4" fillId="0" borderId="15" xfId="3" applyFont="1" applyBorder="1" applyAlignment="1" applyProtection="1">
      <alignment horizontal="left"/>
      <protection locked="0"/>
    </xf>
    <xf numFmtId="14" fontId="4" fillId="0" borderId="14" xfId="3" applyNumberFormat="1" applyFont="1" applyBorder="1" applyAlignment="1" applyProtection="1">
      <alignment horizontal="left"/>
      <protection locked="0"/>
    </xf>
    <xf numFmtId="14" fontId="4" fillId="0" borderId="15" xfId="3" applyNumberFormat="1" applyFont="1" applyBorder="1" applyAlignment="1" applyProtection="1">
      <alignment horizontal="left"/>
      <protection locked="0"/>
    </xf>
    <xf numFmtId="165" fontId="4" fillId="0" borderId="14" xfId="3" applyNumberFormat="1" applyFont="1" applyBorder="1" applyAlignment="1" applyProtection="1">
      <alignment horizontal="left"/>
      <protection locked="0"/>
    </xf>
    <xf numFmtId="165" fontId="4" fillId="0" borderId="62" xfId="3" applyNumberFormat="1" applyFont="1" applyBorder="1" applyAlignment="1" applyProtection="1">
      <alignment horizontal="left"/>
      <protection locked="0"/>
    </xf>
    <xf numFmtId="0" fontId="17" fillId="18" borderId="30" xfId="3" applyFont="1" applyFill="1" applyBorder="1" applyAlignment="1">
      <alignment horizontal="center" vertical="center"/>
    </xf>
    <xf numFmtId="0" fontId="17" fillId="18" borderId="5" xfId="3" applyFont="1" applyFill="1" applyBorder="1" applyAlignment="1">
      <alignment horizontal="center" vertical="center"/>
    </xf>
    <xf numFmtId="0" fontId="17" fillId="18" borderId="17" xfId="3" applyFont="1" applyFill="1" applyBorder="1" applyAlignment="1">
      <alignment horizontal="center" vertical="center"/>
    </xf>
    <xf numFmtId="0" fontId="17" fillId="18" borderId="31" xfId="3" applyFont="1" applyFill="1" applyBorder="1" applyAlignment="1">
      <alignment horizontal="center" vertical="center"/>
    </xf>
    <xf numFmtId="0" fontId="17" fillId="18" borderId="2" xfId="3" applyFont="1" applyFill="1" applyBorder="1" applyAlignment="1">
      <alignment horizontal="center" vertical="center"/>
    </xf>
    <xf numFmtId="0" fontId="17" fillId="18" borderId="43" xfId="3" applyFont="1" applyFill="1" applyBorder="1" applyAlignment="1">
      <alignment horizontal="center" vertical="center"/>
    </xf>
    <xf numFmtId="0" fontId="4" fillId="4" borderId="20" xfId="3" applyFont="1" applyFill="1" applyBorder="1"/>
    <xf numFmtId="0" fontId="4" fillId="4" borderId="4" xfId="3" applyFont="1" applyFill="1" applyBorder="1"/>
    <xf numFmtId="0" fontId="4" fillId="4" borderId="29" xfId="3" applyFont="1" applyFill="1" applyBorder="1"/>
    <xf numFmtId="0" fontId="4" fillId="4" borderId="25" xfId="3" applyFont="1" applyFill="1" applyBorder="1"/>
    <xf numFmtId="0" fontId="4" fillId="4" borderId="26" xfId="3" applyFont="1" applyFill="1" applyBorder="1"/>
    <xf numFmtId="0" fontId="4" fillId="0" borderId="22" xfId="3" applyFont="1" applyBorder="1" applyAlignment="1" applyProtection="1">
      <alignment horizontal="left"/>
      <protection locked="0"/>
    </xf>
    <xf numFmtId="0" fontId="39" fillId="0" borderId="16" xfId="0" applyFont="1" applyBorder="1" applyAlignment="1" applyProtection="1">
      <alignment horizontal="center"/>
      <protection locked="0"/>
    </xf>
    <xf numFmtId="0" fontId="0" fillId="0" borderId="9"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40" fillId="0" borderId="10" xfId="0" applyFont="1" applyBorder="1" applyAlignment="1">
      <alignment vertical="center"/>
    </xf>
    <xf numFmtId="0" fontId="40" fillId="0" borderId="0" xfId="0" applyFont="1" applyBorder="1" applyAlignment="1">
      <alignment vertical="center"/>
    </xf>
    <xf numFmtId="0" fontId="40" fillId="0" borderId="16" xfId="0" applyFont="1" applyBorder="1" applyAlignment="1">
      <alignment vertical="center"/>
    </xf>
    <xf numFmtId="0" fontId="0" fillId="0" borderId="1" xfId="0" applyBorder="1" applyAlignment="1">
      <alignment vertical="center"/>
    </xf>
    <xf numFmtId="0" fontId="44" fillId="0" borderId="0" xfId="0" applyFont="1" applyAlignment="1" applyProtection="1">
      <alignment horizontal="center"/>
      <protection locked="0"/>
    </xf>
    <xf numFmtId="0" fontId="5" fillId="0" borderId="0" xfId="0" applyFont="1" applyAlignment="1">
      <alignment horizontal="center"/>
    </xf>
    <xf numFmtId="0" fontId="3" fillId="12" borderId="30" xfId="0" applyFont="1" applyFill="1" applyBorder="1" applyAlignment="1">
      <alignment horizontal="right"/>
    </xf>
    <xf numFmtId="0" fontId="0" fillId="12" borderId="54" xfId="0" applyFill="1" applyBorder="1" applyAlignment="1">
      <alignment horizontal="right"/>
    </xf>
    <xf numFmtId="0" fontId="0" fillId="0" borderId="0" xfId="0" applyFont="1" applyBorder="1" applyAlignment="1">
      <alignment horizontal="center" wrapText="1"/>
    </xf>
    <xf numFmtId="3" fontId="0" fillId="0" borderId="0" xfId="0" applyNumberFormat="1" applyFont="1" applyBorder="1" applyAlignment="1">
      <alignment horizontal="center" wrapText="1"/>
    </xf>
    <xf numFmtId="49" fontId="45" fillId="0" borderId="67" xfId="0" applyNumberFormat="1" applyFont="1" applyBorder="1" applyAlignment="1" applyProtection="1">
      <alignment horizontal="center"/>
      <protection locked="0"/>
    </xf>
    <xf numFmtId="0" fontId="45" fillId="0" borderId="23" xfId="0" applyFont="1" applyBorder="1" applyAlignment="1" applyProtection="1">
      <alignment horizontal="center"/>
      <protection locked="0"/>
    </xf>
    <xf numFmtId="0" fontId="16" fillId="0" borderId="0" xfId="0" applyFont="1" applyAlignment="1" applyProtection="1">
      <alignment horizontal="center"/>
      <protection locked="0"/>
    </xf>
    <xf numFmtId="0" fontId="12" fillId="0" borderId="0" xfId="0" applyFont="1" applyAlignment="1">
      <alignment horizontal="center"/>
    </xf>
    <xf numFmtId="0" fontId="0" fillId="4" borderId="0" xfId="0" applyFill="1" applyBorder="1" applyAlignment="1">
      <alignment horizontal="left" vertical="center" wrapText="1"/>
    </xf>
    <xf numFmtId="0" fontId="0" fillId="0" borderId="12"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5" fillId="0" borderId="12" xfId="0" applyFont="1" applyBorder="1" applyAlignment="1">
      <alignment vertical="top" wrapText="1"/>
    </xf>
    <xf numFmtId="49" fontId="0" fillId="0" borderId="0" xfId="0" applyNumberFormat="1" applyBorder="1" applyAlignment="1" applyProtection="1">
      <alignment horizontal="center"/>
      <protection locked="0"/>
    </xf>
    <xf numFmtId="0" fontId="0" fillId="0" borderId="13" xfId="0" applyBorder="1" applyAlignment="1" applyProtection="1">
      <alignment horizontal="center"/>
      <protection locked="0"/>
    </xf>
    <xf numFmtId="0" fontId="0" fillId="0" borderId="2" xfId="0" applyBorder="1" applyAlignment="1">
      <alignment horizontal="center"/>
    </xf>
    <xf numFmtId="0" fontId="0" fillId="0" borderId="0" xfId="0" applyBorder="1" applyAlignment="1" applyProtection="1">
      <alignment horizontal="center"/>
      <protection locked="0"/>
    </xf>
    <xf numFmtId="0" fontId="0" fillId="0" borderId="5" xfId="0" applyBorder="1" applyAlignment="1"/>
    <xf numFmtId="0" fontId="7" fillId="4" borderId="13" xfId="0" applyFont="1" applyFill="1" applyBorder="1" applyAlignment="1">
      <alignment horizontal="center" vertical="center"/>
    </xf>
    <xf numFmtId="0" fontId="46" fillId="0" borderId="0" xfId="0" applyFont="1" applyBorder="1" applyAlignment="1">
      <alignment wrapText="1"/>
    </xf>
    <xf numFmtId="0" fontId="0" fillId="0" borderId="0" xfId="0" applyBorder="1" applyAlignment="1">
      <alignment wrapText="1"/>
    </xf>
    <xf numFmtId="0" fontId="5" fillId="0" borderId="0" xfId="0" applyFont="1" applyBorder="1" applyAlignment="1"/>
    <xf numFmtId="49" fontId="0" fillId="0" borderId="0" xfId="0" applyNumberFormat="1"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10" fillId="0" borderId="0" xfId="0" applyFont="1" applyFill="1" applyBorder="1" applyAlignment="1" applyProtection="1">
      <alignment horizontal="center"/>
    </xf>
    <xf numFmtId="0" fontId="39" fillId="0" borderId="0" xfId="0" applyFont="1" applyFill="1" applyBorder="1" applyAlignment="1" applyProtection="1">
      <alignment horizontal="center"/>
    </xf>
    <xf numFmtId="0" fontId="39" fillId="0" borderId="8" xfId="0" applyFont="1" applyFill="1" applyBorder="1" applyAlignment="1" applyProtection="1">
      <alignment horizontal="center"/>
    </xf>
  </cellXfs>
  <cellStyles count="8">
    <cellStyle name="Comma 2" xfId="1"/>
    <cellStyle name="Normal" xfId="0" builtinId="0"/>
    <cellStyle name="Normal 2" xfId="2"/>
    <cellStyle name="Normal 3" xfId="3"/>
    <cellStyle name="Normal 3 2" xfId="4"/>
    <cellStyle name="Normal 4" xfId="5"/>
    <cellStyle name="Normal 5" xfId="6"/>
    <cellStyle name="Normal_VT P Index -- Changing version 10-24-03" xfId="7"/>
  </cellStyles>
  <dxfs count="63">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FFCC"/>
      </font>
      <fill>
        <patternFill>
          <bgColor rgb="FFFFFFCC"/>
        </patternFill>
      </fill>
    </dxf>
    <dxf>
      <font>
        <color theme="2" tint="-9.9948118533890809E-2"/>
      </font>
      <fill>
        <patternFill>
          <bgColor theme="2" tint="-9.9948118533890809E-2"/>
        </patternFill>
      </fill>
    </dxf>
    <dxf>
      <font>
        <color rgb="FFE4D8F4"/>
      </font>
      <fill>
        <patternFill>
          <bgColor theme="7" tint="0.79998168889431442"/>
        </patternFill>
      </fill>
    </dxf>
    <dxf>
      <font>
        <color rgb="FFE4D8F4"/>
      </font>
      <fill>
        <patternFill>
          <bgColor theme="7" tint="0.79998168889431442"/>
        </patternFill>
      </fill>
    </dxf>
    <dxf>
      <font>
        <color rgb="FFCCFFFF"/>
      </font>
      <fill>
        <patternFill>
          <bgColor rgb="FFCCFFFF"/>
        </patternFill>
      </fill>
    </dxf>
    <dxf>
      <font>
        <color rgb="FFCCFFFF"/>
      </font>
      <fill>
        <patternFill>
          <bgColor rgb="FFCCFFFF"/>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3" tint="0.79998168889431442"/>
      </font>
      <fill>
        <patternFill>
          <bgColor theme="3" tint="0.79998168889431442"/>
        </patternFill>
      </fill>
    </dxf>
    <dxf>
      <font>
        <color theme="9" tint="0.79998168889431442"/>
      </font>
      <fill>
        <patternFill>
          <bgColor theme="9" tint="0.79998168889431442"/>
        </patternFill>
      </fill>
    </dxf>
    <dxf>
      <font>
        <color theme="0"/>
      </font>
      <fill>
        <patternFill>
          <bgColor theme="0"/>
        </patternFill>
      </fill>
    </dxf>
    <dxf>
      <fill>
        <patternFill>
          <bgColor theme="0"/>
        </patternFill>
      </fill>
    </dxf>
    <dxf>
      <fill>
        <patternFill>
          <bgColor rgb="FFFFC7CE"/>
        </patternFill>
      </fill>
    </dxf>
    <dxf>
      <font>
        <color theme="5" tint="0.79998168889431442"/>
      </font>
      <fill>
        <patternFill>
          <bgColor theme="9" tint="0.79998168889431442"/>
        </patternFill>
      </fill>
    </dxf>
    <dxf>
      <font>
        <strike val="0"/>
        <color theme="9" tint="0.79998168889431442"/>
      </font>
      <fill>
        <patternFill>
          <bgColor theme="9" tint="0.79998168889431442"/>
        </patternFill>
      </fill>
    </dxf>
    <dxf>
      <font>
        <condense val="0"/>
        <extend val="0"/>
        <color indexed="18"/>
      </font>
    </dxf>
    <dxf>
      <font>
        <condense val="0"/>
        <extend val="0"/>
        <color indexed="53"/>
      </font>
    </dxf>
    <dxf>
      <font>
        <condense val="0"/>
        <extend val="0"/>
        <color indexed="10"/>
      </font>
    </dxf>
    <dxf>
      <font>
        <condense val="0"/>
        <extend val="0"/>
        <color indexed="10"/>
      </font>
    </dxf>
    <dxf>
      <font>
        <condense val="0"/>
        <extend val="0"/>
        <color indexed="53"/>
      </font>
    </dxf>
    <dxf>
      <font>
        <condense val="0"/>
        <extend val="0"/>
        <color indexed="18"/>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xdr:rowOff>
    </xdr:from>
    <xdr:to>
      <xdr:col>10</xdr:col>
      <xdr:colOff>579120</xdr:colOff>
      <xdr:row>62</xdr:row>
      <xdr:rowOff>121920</xdr:rowOff>
    </xdr:to>
    <xdr:sp macro="" textlink="">
      <xdr:nvSpPr>
        <xdr:cNvPr id="2" name="TextBox 1"/>
        <xdr:cNvSpPr txBox="1"/>
      </xdr:nvSpPr>
      <xdr:spPr>
        <a:xfrm>
          <a:off x="0" y="15240"/>
          <a:ext cx="6675120" cy="11445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Instructions for Using</a:t>
          </a:r>
          <a:r>
            <a:rPr lang="en-US" sz="1100" b="1" baseline="0">
              <a:solidFill>
                <a:schemeClr val="dk1"/>
              </a:solidFill>
              <a:latin typeface="+mn-lt"/>
              <a:ea typeface="+mn-ea"/>
              <a:cs typeface="+mn-cs"/>
            </a:rPr>
            <a:t> </a:t>
          </a:r>
          <a:r>
            <a:rPr lang="en-US" sz="1100" b="1">
              <a:solidFill>
                <a:schemeClr val="dk1"/>
              </a:solidFill>
              <a:latin typeface="+mn-lt"/>
              <a:ea typeface="+mn-ea"/>
              <a:cs typeface="+mn-cs"/>
            </a:rPr>
            <a:t>Veg NMP Excel Worksheets</a:t>
          </a:r>
          <a:endParaRPr lang="en-US" sz="1100">
            <a:solidFill>
              <a:schemeClr val="dk1"/>
            </a:solidFill>
            <a:latin typeface="+mn-lt"/>
            <a:ea typeface="+mn-ea"/>
            <a:cs typeface="+mn-cs"/>
          </a:endParaRPr>
        </a:p>
        <a:p>
          <a:endParaRPr lang="en-US" sz="1100" b="1" u="sng">
            <a:solidFill>
              <a:schemeClr val="dk1"/>
            </a:solidFill>
            <a:latin typeface="+mn-lt"/>
            <a:ea typeface="+mn-ea"/>
            <a:cs typeface="+mn-cs"/>
          </a:endParaRPr>
        </a:p>
        <a:p>
          <a:r>
            <a:rPr lang="en-US" sz="1100" b="1" u="sng">
              <a:solidFill>
                <a:schemeClr val="dk1"/>
              </a:solidFill>
              <a:latin typeface="+mn-lt"/>
              <a:ea typeface="+mn-ea"/>
              <a:cs typeface="+mn-cs"/>
            </a:rPr>
            <a:t>Farm Info Sheet</a:t>
          </a:r>
          <a:r>
            <a:rPr lang="en-US" sz="1100">
              <a:solidFill>
                <a:schemeClr val="dk1"/>
              </a:solidFill>
              <a:latin typeface="+mn-lt"/>
              <a:ea typeface="+mn-ea"/>
              <a:cs typeface="+mn-cs"/>
            </a:rPr>
            <a:t> – fill in following instructions</a:t>
          </a:r>
        </a:p>
        <a:p>
          <a:endParaRPr lang="en-US" sz="1100" b="1" u="sng">
            <a:solidFill>
              <a:schemeClr val="dk1"/>
            </a:solidFill>
            <a:latin typeface="+mn-lt"/>
            <a:ea typeface="+mn-ea"/>
            <a:cs typeface="+mn-cs"/>
          </a:endParaRPr>
        </a:p>
        <a:p>
          <a:r>
            <a:rPr lang="en-US" sz="1100" b="1" u="sng">
              <a:solidFill>
                <a:schemeClr val="dk1"/>
              </a:solidFill>
              <a:latin typeface="+mn-lt"/>
              <a:ea typeface="+mn-ea"/>
              <a:cs typeface="+mn-cs"/>
            </a:rPr>
            <a:t>Field Info</a:t>
          </a:r>
          <a:r>
            <a:rPr lang="en-US" sz="1100">
              <a:solidFill>
                <a:schemeClr val="dk1"/>
              </a:solidFill>
              <a:latin typeface="+mn-lt"/>
              <a:ea typeface="+mn-ea"/>
              <a:cs typeface="+mn-cs"/>
            </a:rPr>
            <a:t> </a:t>
          </a:r>
        </a:p>
        <a:p>
          <a:r>
            <a:rPr lang="en-US" sz="1100" b="1">
              <a:solidFill>
                <a:schemeClr val="dk1"/>
              </a:solidFill>
              <a:latin typeface="+mn-lt"/>
              <a:ea typeface="+mn-ea"/>
              <a:cs typeface="+mn-cs"/>
            </a:rPr>
            <a:t>Field Name </a:t>
          </a:r>
          <a:r>
            <a:rPr lang="en-US" sz="1100">
              <a:solidFill>
                <a:schemeClr val="dk1"/>
              </a:solidFill>
              <a:latin typeface="+mn-lt"/>
              <a:ea typeface="+mn-ea"/>
              <a:cs typeface="+mn-cs"/>
            </a:rPr>
            <a:t>– what the producer calls the field</a:t>
          </a:r>
        </a:p>
        <a:p>
          <a:r>
            <a:rPr lang="en-US" sz="1100" b="1">
              <a:solidFill>
                <a:schemeClr val="dk1"/>
              </a:solidFill>
              <a:latin typeface="+mn-lt"/>
              <a:ea typeface="+mn-ea"/>
              <a:cs typeface="+mn-cs"/>
            </a:rPr>
            <a:t>Tract &amp; Field # </a:t>
          </a:r>
          <a:r>
            <a:rPr lang="en-US" sz="1100">
              <a:solidFill>
                <a:schemeClr val="dk1"/>
              </a:solidFill>
              <a:latin typeface="+mn-lt"/>
              <a:ea typeface="+mn-ea"/>
              <a:cs typeface="+mn-cs"/>
            </a:rPr>
            <a:t>- FSA designated tract and field numbers </a:t>
          </a:r>
        </a:p>
        <a:p>
          <a:r>
            <a:rPr lang="en-US" sz="1100" b="1">
              <a:solidFill>
                <a:schemeClr val="dk1"/>
              </a:solidFill>
              <a:latin typeface="+mn-lt"/>
              <a:ea typeface="+mn-ea"/>
              <a:cs typeface="+mn-cs"/>
            </a:rPr>
            <a:t>Field Acres</a:t>
          </a:r>
          <a:r>
            <a:rPr lang="en-US" sz="1100">
              <a:solidFill>
                <a:schemeClr val="dk1"/>
              </a:solidFill>
              <a:latin typeface="+mn-lt"/>
              <a:ea typeface="+mn-ea"/>
              <a:cs typeface="+mn-cs"/>
            </a:rPr>
            <a:t> - FSA acreage</a:t>
          </a:r>
        </a:p>
        <a:p>
          <a:r>
            <a:rPr lang="en-US" sz="1100" b="1">
              <a:solidFill>
                <a:schemeClr val="dk1"/>
              </a:solidFill>
              <a:latin typeface="+mn-lt"/>
              <a:ea typeface="+mn-ea"/>
              <a:cs typeface="+mn-cs"/>
            </a:rPr>
            <a:t>Dominant Soil</a:t>
          </a:r>
          <a:r>
            <a:rPr lang="en-US" sz="1100">
              <a:solidFill>
                <a:schemeClr val="dk1"/>
              </a:solidFill>
              <a:latin typeface="+mn-lt"/>
              <a:ea typeface="+mn-ea"/>
              <a:cs typeface="+mn-cs"/>
            </a:rPr>
            <a:t> - from soil map</a:t>
          </a:r>
        </a:p>
        <a:p>
          <a:r>
            <a:rPr lang="en-US" sz="1100" b="1">
              <a:solidFill>
                <a:schemeClr val="dk1"/>
              </a:solidFill>
              <a:latin typeface="+mn-lt"/>
              <a:ea typeface="+mn-ea"/>
              <a:cs typeface="+mn-cs"/>
            </a:rPr>
            <a:t>Limiting Soil</a:t>
          </a:r>
          <a:r>
            <a:rPr lang="en-US" sz="1100">
              <a:solidFill>
                <a:schemeClr val="dk1"/>
              </a:solidFill>
              <a:latin typeface="+mn-lt"/>
              <a:ea typeface="+mn-ea"/>
              <a:cs typeface="+mn-cs"/>
            </a:rPr>
            <a:t> - soil with characteristics limiting crop growth that is found in a field, can be the same as dominant soil</a:t>
          </a:r>
        </a:p>
        <a:p>
          <a:r>
            <a:rPr lang="en-US" sz="1100" b="1">
              <a:solidFill>
                <a:schemeClr val="dk1"/>
              </a:solidFill>
              <a:latin typeface="+mn-lt"/>
              <a:ea typeface="+mn-ea"/>
              <a:cs typeface="+mn-cs"/>
            </a:rPr>
            <a:t>Hydrologic Group, Dominant Drainage Class, Water Table Depth, Flood Potential, and Depth to Bedrock</a:t>
          </a:r>
          <a:r>
            <a:rPr lang="en-US" sz="1100">
              <a:solidFill>
                <a:schemeClr val="dk1"/>
              </a:solidFill>
              <a:latin typeface="+mn-lt"/>
              <a:ea typeface="+mn-ea"/>
              <a:cs typeface="+mn-cs"/>
            </a:rPr>
            <a:t> of dominant soil (found on soil fact sheet)</a:t>
          </a:r>
        </a:p>
        <a:p>
          <a:r>
            <a:rPr lang="en-US" sz="1100" b="1">
              <a:solidFill>
                <a:schemeClr val="dk1"/>
              </a:solidFill>
              <a:latin typeface="+mn-lt"/>
              <a:ea typeface="+mn-ea"/>
              <a:cs typeface="+mn-cs"/>
            </a:rPr>
            <a:t>RUSLE2 Soil Loss as Planned</a:t>
          </a:r>
          <a:r>
            <a:rPr lang="en-US" sz="1100">
              <a:solidFill>
                <a:schemeClr val="dk1"/>
              </a:solidFill>
              <a:latin typeface="+mn-lt"/>
              <a:ea typeface="+mn-ea"/>
              <a:cs typeface="+mn-cs"/>
            </a:rPr>
            <a:t> - number from RUSLE2 calculations (automatically entered from P Index sheet)</a:t>
          </a:r>
        </a:p>
        <a:p>
          <a:r>
            <a:rPr lang="en-US" sz="1100" b="1">
              <a:solidFill>
                <a:schemeClr val="dk1"/>
              </a:solidFill>
              <a:latin typeface="+mn-lt"/>
              <a:ea typeface="+mn-ea"/>
              <a:cs typeface="+mn-cs"/>
            </a:rPr>
            <a:t>Water Quality Site Considerations </a:t>
          </a:r>
          <a:r>
            <a:rPr lang="en-US" sz="1100">
              <a:solidFill>
                <a:schemeClr val="dk1"/>
              </a:solidFill>
              <a:latin typeface="+mn-lt"/>
              <a:ea typeface="+mn-ea"/>
              <a:cs typeface="+mn-cs"/>
            </a:rPr>
            <a:t>– list any specific site considerations that pertain to water quality at this site (for example the presence of springs, streams, wells, the need for a buffer, etc.</a:t>
          </a:r>
        </a:p>
        <a:p>
          <a:r>
            <a:rPr lang="en-US" sz="1100" b="1">
              <a:solidFill>
                <a:schemeClr val="dk1"/>
              </a:solidFill>
              <a:latin typeface="+mn-lt"/>
              <a:ea typeface="+mn-ea"/>
              <a:cs typeface="+mn-cs"/>
            </a:rPr>
            <a:t>Soil Test P range:  </a:t>
          </a:r>
          <a:r>
            <a:rPr lang="en-US" sz="1100">
              <a:solidFill>
                <a:schemeClr val="dk1"/>
              </a:solidFill>
              <a:latin typeface="+mn-lt"/>
              <a:ea typeface="+mn-ea"/>
              <a:cs typeface="+mn-cs"/>
            </a:rPr>
            <a:t> (automatically entered from P Index sheet)</a:t>
          </a:r>
        </a:p>
        <a:p>
          <a:r>
            <a:rPr lang="en-US" sz="1100">
              <a:solidFill>
                <a:schemeClr val="dk1"/>
              </a:solidFill>
              <a:latin typeface="+mn-lt"/>
              <a:ea typeface="+mn-ea"/>
              <a:cs typeface="+mn-cs"/>
            </a:rPr>
            <a:t>low = 0-2 ppm  </a:t>
          </a:r>
        </a:p>
        <a:p>
          <a:r>
            <a:rPr lang="en-US" sz="1100">
              <a:solidFill>
                <a:schemeClr val="dk1"/>
              </a:solidFill>
              <a:latin typeface="+mn-lt"/>
              <a:ea typeface="+mn-ea"/>
              <a:cs typeface="+mn-cs"/>
            </a:rPr>
            <a:t>med = 2.1-4 ppm  </a:t>
          </a:r>
        </a:p>
        <a:p>
          <a:r>
            <a:rPr lang="en-US" sz="1100">
              <a:solidFill>
                <a:schemeClr val="dk1"/>
              </a:solidFill>
              <a:latin typeface="+mn-lt"/>
              <a:ea typeface="+mn-ea"/>
              <a:cs typeface="+mn-cs"/>
            </a:rPr>
            <a:t>optimum = 4.1-7 ppm </a:t>
          </a:r>
        </a:p>
        <a:p>
          <a:r>
            <a:rPr lang="en-US" sz="1100">
              <a:solidFill>
                <a:schemeClr val="dk1"/>
              </a:solidFill>
              <a:latin typeface="+mn-lt"/>
              <a:ea typeface="+mn-ea"/>
              <a:cs typeface="+mn-cs"/>
            </a:rPr>
            <a:t>high = 7.1-20 ppm  </a:t>
          </a:r>
        </a:p>
        <a:p>
          <a:r>
            <a:rPr lang="en-US" sz="1100">
              <a:solidFill>
                <a:schemeClr val="dk1"/>
              </a:solidFill>
              <a:latin typeface="+mn-lt"/>
              <a:ea typeface="+mn-ea"/>
              <a:cs typeface="+mn-cs"/>
            </a:rPr>
            <a:t>excessive =  &gt;20 ppm</a:t>
          </a:r>
        </a:p>
        <a:p>
          <a:r>
            <a:rPr lang="en-US" sz="1100" b="1">
              <a:solidFill>
                <a:schemeClr val="dk1"/>
              </a:solidFill>
              <a:latin typeface="+mn-lt"/>
              <a:ea typeface="+mn-ea"/>
              <a:cs typeface="+mn-cs"/>
            </a:rPr>
            <a:t>P Index as Planned</a:t>
          </a:r>
          <a:r>
            <a:rPr lang="en-US" sz="1100">
              <a:solidFill>
                <a:schemeClr val="dk1"/>
              </a:solidFill>
              <a:latin typeface="+mn-lt"/>
              <a:ea typeface="+mn-ea"/>
              <a:cs typeface="+mn-cs"/>
            </a:rPr>
            <a:t> – category of P Index as determined for each field (automatically entered from P Index sheet)</a:t>
          </a:r>
        </a:p>
        <a:p>
          <a:r>
            <a:rPr lang="en-US" sz="1100" b="1">
              <a:solidFill>
                <a:schemeClr val="dk1"/>
              </a:solidFill>
              <a:latin typeface="+mn-lt"/>
              <a:ea typeface="+mn-ea"/>
              <a:cs typeface="+mn-cs"/>
            </a:rPr>
            <a:t>Need N or P based management</a:t>
          </a:r>
          <a:r>
            <a:rPr lang="en-US" sz="1100">
              <a:solidFill>
                <a:schemeClr val="dk1"/>
              </a:solidFill>
              <a:latin typeface="+mn-lt"/>
              <a:ea typeface="+mn-ea"/>
              <a:cs typeface="+mn-cs"/>
            </a:rPr>
            <a:t> – Where soil test P range is excessive OR P-index is high or very high, then P-based management is needed. Otherwise, N-based Management.</a:t>
          </a:r>
        </a:p>
        <a:p>
          <a:r>
            <a:rPr lang="en-US" sz="1100" b="1">
              <a:solidFill>
                <a:schemeClr val="dk1"/>
              </a:solidFill>
              <a:latin typeface="+mn-lt"/>
              <a:ea typeface="+mn-ea"/>
              <a:cs typeface="+mn-cs"/>
            </a:rPr>
            <a:t>Residue, Sandy or Buffer</a:t>
          </a:r>
          <a:r>
            <a:rPr lang="en-US" sz="1100">
              <a:solidFill>
                <a:schemeClr val="dk1"/>
              </a:solidFill>
              <a:latin typeface="+mn-lt"/>
              <a:ea typeface="+mn-ea"/>
              <a:cs typeface="+mn-cs"/>
            </a:rPr>
            <a:t> – Check the box under each situation that applies in a field</a:t>
          </a:r>
        </a:p>
        <a:p>
          <a:endParaRPr lang="en-US" sz="1100" b="1" u="sng">
            <a:solidFill>
              <a:schemeClr val="dk1"/>
            </a:solidFill>
            <a:latin typeface="+mn-lt"/>
            <a:ea typeface="+mn-ea"/>
            <a:cs typeface="+mn-cs"/>
          </a:endParaRPr>
        </a:p>
        <a:p>
          <a:r>
            <a:rPr lang="en-US" sz="1100" b="1" u="sng">
              <a:solidFill>
                <a:schemeClr val="dk1"/>
              </a:solidFill>
              <a:latin typeface="+mn-lt"/>
              <a:ea typeface="+mn-ea"/>
              <a:cs typeface="+mn-cs"/>
            </a:rPr>
            <a:t>Rotation</a:t>
          </a:r>
          <a:r>
            <a:rPr lang="en-US" sz="1100">
              <a:solidFill>
                <a:schemeClr val="dk1"/>
              </a:solidFill>
              <a:latin typeface="+mn-lt"/>
              <a:ea typeface="+mn-ea"/>
              <a:cs typeface="+mn-cs"/>
            </a:rPr>
            <a:t> – fill in the rotation to the best of your ability using information from past crop seasons and intended future plans</a:t>
          </a:r>
        </a:p>
        <a:p>
          <a:endParaRPr lang="en-US" sz="1100" b="1" u="sng">
            <a:solidFill>
              <a:schemeClr val="dk1"/>
            </a:solidFill>
            <a:latin typeface="+mn-lt"/>
            <a:ea typeface="+mn-ea"/>
            <a:cs typeface="+mn-cs"/>
          </a:endParaRPr>
        </a:p>
        <a:p>
          <a:r>
            <a:rPr lang="en-US" sz="1100" b="1" u="sng">
              <a:solidFill>
                <a:schemeClr val="dk1"/>
              </a:solidFill>
              <a:latin typeface="+mn-lt"/>
              <a:ea typeface="+mn-ea"/>
              <a:cs typeface="+mn-cs"/>
            </a:rPr>
            <a:t>Amendments </a:t>
          </a:r>
          <a:r>
            <a:rPr lang="en-US" sz="1100">
              <a:solidFill>
                <a:schemeClr val="dk1"/>
              </a:solidFill>
              <a:latin typeface="+mn-lt"/>
              <a:ea typeface="+mn-ea"/>
              <a:cs typeface="+mn-cs"/>
            </a:rPr>
            <a:t>– A listing of some of the commonly used amendments and their nutrient content for organic growers.</a:t>
          </a:r>
        </a:p>
        <a:p>
          <a:endParaRPr lang="en-US" sz="1100" b="1" u="sng">
            <a:solidFill>
              <a:schemeClr val="dk1"/>
            </a:solidFill>
            <a:latin typeface="+mn-lt"/>
            <a:ea typeface="+mn-ea"/>
            <a:cs typeface="+mn-cs"/>
          </a:endParaRPr>
        </a:p>
        <a:p>
          <a:r>
            <a:rPr lang="en-US" sz="1100" b="1" u="sng">
              <a:solidFill>
                <a:schemeClr val="dk1"/>
              </a:solidFill>
              <a:latin typeface="+mn-lt"/>
              <a:ea typeface="+mn-ea"/>
              <a:cs typeface="+mn-cs"/>
            </a:rPr>
            <a:t>Soil Test Schedule</a:t>
          </a:r>
          <a:r>
            <a:rPr lang="en-US" sz="1100">
              <a:solidFill>
                <a:schemeClr val="dk1"/>
              </a:solidFill>
              <a:latin typeface="+mn-lt"/>
              <a:ea typeface="+mn-ea"/>
              <a:cs typeface="+mn-cs"/>
            </a:rPr>
            <a:t> – each field is required to have a soil test taken a minimum of once every three years</a:t>
          </a:r>
        </a:p>
        <a:p>
          <a:endParaRPr lang="en-US" sz="1100" b="1" u="sng">
            <a:solidFill>
              <a:schemeClr val="dk1"/>
            </a:solidFill>
            <a:latin typeface="+mn-lt"/>
            <a:ea typeface="+mn-ea"/>
            <a:cs typeface="+mn-cs"/>
          </a:endParaRPr>
        </a:p>
        <a:p>
          <a:r>
            <a:rPr lang="en-US" sz="1100" b="1" u="sng">
              <a:solidFill>
                <a:schemeClr val="dk1"/>
              </a:solidFill>
              <a:latin typeface="+mn-lt"/>
              <a:ea typeface="+mn-ea"/>
              <a:cs typeface="+mn-cs"/>
            </a:rPr>
            <a:t>Soil Test Results</a:t>
          </a:r>
          <a:r>
            <a:rPr lang="en-US" sz="1100">
              <a:solidFill>
                <a:schemeClr val="dk1"/>
              </a:solidFill>
              <a:latin typeface="+mn-lt"/>
              <a:ea typeface="+mn-ea"/>
              <a:cs typeface="+mn-cs"/>
            </a:rPr>
            <a:t> – A summary table of field by field soil test results. These can be found on the soil test results. Other nutrients can be included in this summary if they are of concern to a grower. (Soil test P results automatically entered from P Index sheet)</a:t>
          </a:r>
        </a:p>
        <a:p>
          <a:endParaRPr lang="en-US" sz="1100" b="1" u="sng">
            <a:solidFill>
              <a:schemeClr val="dk1"/>
            </a:solidFill>
            <a:latin typeface="+mn-lt"/>
            <a:ea typeface="+mn-ea"/>
            <a:cs typeface="+mn-cs"/>
          </a:endParaRPr>
        </a:p>
        <a:p>
          <a:r>
            <a:rPr lang="en-US" sz="1100" b="1" u="sng">
              <a:solidFill>
                <a:schemeClr val="dk1"/>
              </a:solidFill>
              <a:latin typeface="+mn-lt"/>
              <a:ea typeface="+mn-ea"/>
              <a:cs typeface="+mn-cs"/>
            </a:rPr>
            <a:t>N Credits</a:t>
          </a:r>
          <a:r>
            <a:rPr lang="en-US" sz="1100">
              <a:solidFill>
                <a:schemeClr val="dk1"/>
              </a:solidFill>
              <a:latin typeface="+mn-lt"/>
              <a:ea typeface="+mn-ea"/>
              <a:cs typeface="+mn-cs"/>
            </a:rPr>
            <a:t> – Use this worksheet to estimate N credits that can be taken from previously applied manure, compost or plow-downs</a:t>
          </a:r>
        </a:p>
        <a:p>
          <a:endParaRPr lang="en-US" sz="1100" b="1" u="sng">
            <a:solidFill>
              <a:schemeClr val="dk1"/>
            </a:solidFill>
            <a:latin typeface="+mn-lt"/>
            <a:ea typeface="+mn-ea"/>
            <a:cs typeface="+mn-cs"/>
          </a:endParaRPr>
        </a:p>
        <a:p>
          <a:r>
            <a:rPr lang="en-US" sz="1100" b="1" u="sng">
              <a:solidFill>
                <a:schemeClr val="dk1"/>
              </a:solidFill>
              <a:latin typeface="+mn-lt"/>
              <a:ea typeface="+mn-ea"/>
              <a:cs typeface="+mn-cs"/>
            </a:rPr>
            <a:t>Individual Field Sheets</a:t>
          </a:r>
          <a:r>
            <a:rPr lang="en-US" sz="1100">
              <a:solidFill>
                <a:schemeClr val="dk1"/>
              </a:solidFill>
              <a:latin typeface="+mn-lt"/>
              <a:ea typeface="+mn-ea"/>
              <a:cs typeface="+mn-cs"/>
            </a:rPr>
            <a:t> – This part of the workbook allows producers to create a nutrient budget for each field. The sheet is divided into three different sections to accommodate either a) different crops grown within the same field, or b) planning for different crops if the grower is unsure what he/she will put in the field.</a:t>
          </a:r>
        </a:p>
        <a:p>
          <a:r>
            <a:rPr lang="en-US" sz="1100">
              <a:solidFill>
                <a:schemeClr val="dk1"/>
              </a:solidFill>
              <a:latin typeface="+mn-lt"/>
              <a:ea typeface="+mn-ea"/>
              <a:cs typeface="+mn-cs"/>
            </a:rPr>
            <a:t>A P Index is only calculated from the organic amendments entered in Section A.</a:t>
          </a:r>
        </a:p>
        <a:p>
          <a:r>
            <a:rPr lang="en-US" sz="1100">
              <a:solidFill>
                <a:schemeClr val="dk1"/>
              </a:solidFill>
              <a:latin typeface="+mn-lt"/>
              <a:ea typeface="+mn-ea"/>
              <a:cs typeface="+mn-cs"/>
            </a:rPr>
            <a:t>The field name, acreage and soil test results are transferred from previous worksheets where this information was entered. The user will enter year first used, ownership status (owned or rented), year of last soil test, and soil texture at the top of the worksheet.</a:t>
          </a:r>
        </a:p>
        <a:p>
          <a:r>
            <a:rPr lang="en-US" sz="1100">
              <a:solidFill>
                <a:schemeClr val="dk1"/>
              </a:solidFill>
              <a:latin typeface="+mn-lt"/>
              <a:ea typeface="+mn-ea"/>
              <a:cs typeface="+mn-cs"/>
            </a:rPr>
            <a:t>In the individual crop sections, the user will enter crop to be grown, target pH and acreage of crop (if different from field acreage). Crop needs are entered either from the recommendation given on the soil test or as determined from the New England Vegetable Management Guide. There are two columns on the far right that can be used for other nutrients that are recommended besides N, P and K.</a:t>
          </a:r>
        </a:p>
        <a:p>
          <a:r>
            <a:rPr lang="en-US" sz="1100">
              <a:solidFill>
                <a:schemeClr val="dk1"/>
              </a:solidFill>
              <a:latin typeface="+mn-lt"/>
              <a:ea typeface="+mn-ea"/>
              <a:cs typeface="+mn-cs"/>
            </a:rPr>
            <a:t>The user enters nutrient credits from organic matter, cover crop/plowed down sod, manure/compost last year and manure/compost this year (as calculated from the N credits worksheet). Next the user enters planned fertilizer applications in lbs/acre and formulation. There is space for four nutrient applications, and a running tally of remaining nutrient need is kept at the bottom of each section. A negative number indicates an excess.</a:t>
          </a:r>
        </a:p>
        <a:p>
          <a:endParaRPr lang="en-US" sz="1100" b="1" u="sng">
            <a:solidFill>
              <a:schemeClr val="dk1"/>
            </a:solidFill>
            <a:latin typeface="+mn-lt"/>
            <a:ea typeface="+mn-ea"/>
            <a:cs typeface="+mn-cs"/>
          </a:endParaRPr>
        </a:p>
        <a:p>
          <a:r>
            <a:rPr lang="en-US" sz="1100" b="1" u="sng">
              <a:solidFill>
                <a:schemeClr val="dk1"/>
              </a:solidFill>
              <a:latin typeface="+mn-lt"/>
              <a:ea typeface="+mn-ea"/>
              <a:cs typeface="+mn-cs"/>
            </a:rPr>
            <a:t>Summary</a:t>
          </a:r>
          <a:endParaRPr lang="en-US" sz="1100">
            <a:solidFill>
              <a:schemeClr val="dk1"/>
            </a:solidFill>
            <a:latin typeface="+mn-lt"/>
            <a:ea typeface="+mn-ea"/>
            <a:cs typeface="+mn-cs"/>
          </a:endParaRPr>
        </a:p>
        <a:p>
          <a:r>
            <a:rPr lang="en-US" sz="1100">
              <a:solidFill>
                <a:schemeClr val="dk1"/>
              </a:solidFill>
              <a:latin typeface="+mn-lt"/>
              <a:ea typeface="+mn-ea"/>
              <a:cs typeface="+mn-cs"/>
            </a:rPr>
            <a:t>After filling out an individual field sheet for each field, the user can print a summary of soil test results, crop needs and planned fertilizer applications.</a:t>
          </a:r>
        </a:p>
        <a:p>
          <a:endParaRPr lang="en-US" sz="1100" b="1" u="sng">
            <a:solidFill>
              <a:schemeClr val="dk1"/>
            </a:solidFill>
            <a:latin typeface="+mn-lt"/>
            <a:ea typeface="+mn-ea"/>
            <a:cs typeface="+mn-cs"/>
          </a:endParaRPr>
        </a:p>
        <a:p>
          <a:r>
            <a:rPr lang="en-US" sz="1100" b="1" u="sng">
              <a:solidFill>
                <a:schemeClr val="dk1"/>
              </a:solidFill>
              <a:latin typeface="+mn-lt"/>
              <a:ea typeface="+mn-ea"/>
              <a:cs typeface="+mn-cs"/>
            </a:rPr>
            <a:t>Fertilizer Blending Calculator</a:t>
          </a:r>
          <a:endParaRPr lang="en-US" sz="1100">
            <a:solidFill>
              <a:schemeClr val="dk1"/>
            </a:solidFill>
            <a:latin typeface="+mn-lt"/>
            <a:ea typeface="+mn-ea"/>
            <a:cs typeface="+mn-cs"/>
          </a:endParaRPr>
        </a:p>
        <a:p>
          <a:r>
            <a:rPr lang="en-US" sz="1100">
              <a:solidFill>
                <a:schemeClr val="dk1"/>
              </a:solidFill>
              <a:latin typeface="+mn-lt"/>
              <a:ea typeface="+mn-ea"/>
              <a:cs typeface="+mn-cs"/>
            </a:rPr>
            <a:t>In cases where growers are creating special blends to meet nutrient needs (such as with some organic operations), the fertilizer blending calculator at the end of the workbook may be used. </a:t>
          </a:r>
        </a:p>
        <a:p>
          <a:r>
            <a:rPr lang="en-US" sz="1100"/>
            <a:t>		</a:t>
          </a:r>
        </a:p>
      </xdr:txBody>
    </xdr:sp>
    <xdr:clientData/>
  </xdr:twoCellAnchor>
  <xdr:twoCellAnchor editAs="oneCell">
    <xdr:from>
      <xdr:col>9</xdr:col>
      <xdr:colOff>66675</xdr:colOff>
      <xdr:row>0</xdr:row>
      <xdr:rowOff>104775</xdr:rowOff>
    </xdr:from>
    <xdr:to>
      <xdr:col>10</xdr:col>
      <xdr:colOff>371475</xdr:colOff>
      <xdr:row>3</xdr:row>
      <xdr:rowOff>38100</xdr:rowOff>
    </xdr:to>
    <xdr:pic>
      <xdr:nvPicPr>
        <xdr:cNvPr id="3232" name="Picture 2" descr="ExtensionLogo smaller.jpg"/>
        <xdr:cNvPicPr>
          <a:picLocks noChangeAspect="1"/>
        </xdr:cNvPicPr>
      </xdr:nvPicPr>
      <xdr:blipFill>
        <a:blip xmlns:r="http://schemas.openxmlformats.org/officeDocument/2006/relationships" r:embed="rId1" cstate="print"/>
        <a:srcRect/>
        <a:stretch>
          <a:fillRect/>
        </a:stretch>
      </xdr:blipFill>
      <xdr:spPr bwMode="auto">
        <a:xfrm>
          <a:off x="5553075" y="104775"/>
          <a:ext cx="914400" cy="504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276225</xdr:colOff>
      <xdr:row>2</xdr:row>
      <xdr:rowOff>152400</xdr:rowOff>
    </xdr:from>
    <xdr:to>
      <xdr:col>7</xdr:col>
      <xdr:colOff>38100</xdr:colOff>
      <xdr:row>7</xdr:row>
      <xdr:rowOff>9525</xdr:rowOff>
    </xdr:to>
    <xdr:pic>
      <xdr:nvPicPr>
        <xdr:cNvPr id="20543" name="Picture 1" descr="ExtensionLogo.jpg"/>
        <xdr:cNvPicPr>
          <a:picLocks noChangeAspect="1"/>
        </xdr:cNvPicPr>
      </xdr:nvPicPr>
      <xdr:blipFill>
        <a:blip xmlns:r="http://schemas.openxmlformats.org/officeDocument/2006/relationships" r:embed="rId1" cstate="print"/>
        <a:srcRect/>
        <a:stretch>
          <a:fillRect/>
        </a:stretch>
      </xdr:blipFill>
      <xdr:spPr bwMode="auto">
        <a:xfrm>
          <a:off x="3838575" y="533400"/>
          <a:ext cx="1457325" cy="8096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gronomy/LOCALS~1/Temp/Veg_P_Index_v_5_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Agronomy/LOCALS~1/Temp/nmpworkbook%20January%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Agronomy/LOCALS~1/Temp/x-nmpplan09%20cor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Instructions"/>
      <sheetName val="Vegetables"/>
      <sheetName val="Examples"/>
      <sheetName val="VT P Index  Ver. 5.3  2-9-09"/>
      <sheetName val="Manure rate calculator"/>
      <sheetName val="PI Interpretation"/>
      <sheetName val="HSG"/>
      <sheetName val="Supplemental Data"/>
    </sheetNames>
    <sheetDataSet>
      <sheetData sheetId="0"/>
      <sheetData sheetId="1"/>
      <sheetData sheetId="2"/>
      <sheetData sheetId="3"/>
      <sheetData sheetId="4">
        <row r="43">
          <cell r="C43">
            <v>1</v>
          </cell>
        </row>
      </sheetData>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Credits"/>
      <sheetName val="Info Sheet"/>
      <sheetName val="Data"/>
      <sheetName val="Field Inv"/>
      <sheetName val="SoilTest Sch."/>
      <sheetName val="Manr Analysis"/>
      <sheetName val="Manr Stor #1"/>
      <sheetName val="Manr Stor #2"/>
      <sheetName val="Manr Stor #3"/>
      <sheetName val="Manr Stor #4"/>
      <sheetName val="Manr Nutr Val"/>
      <sheetName val="Nutr Bal"/>
      <sheetName val="VT P Index"/>
      <sheetName val="Risk"/>
      <sheetName val="PlanSummaryCalc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Manure Drawdown"/>
      <sheetName val="PlanSummary"/>
      <sheetName val="Blank"/>
    </sheetNames>
    <sheetDataSet>
      <sheetData sheetId="0"/>
      <sheetData sheetId="1"/>
      <sheetData sheetId="2"/>
      <sheetData sheetId="3"/>
      <sheetData sheetId="4"/>
      <sheetData sheetId="5">
        <row r="9">
          <cell r="B9" t="str">
            <v>Tract &amp; Field #</v>
          </cell>
          <cell r="C9" t="str">
            <v>Field Label</v>
          </cell>
          <cell r="D9" t="str">
            <v>Acres</v>
          </cell>
          <cell r="E9">
            <v>2008</v>
          </cell>
          <cell r="F9">
            <v>2009</v>
          </cell>
          <cell r="G9">
            <v>2010</v>
          </cell>
          <cell r="H9">
            <v>2011</v>
          </cell>
          <cell r="I9">
            <v>2012</v>
          </cell>
          <cell r="J9">
            <v>2013</v>
          </cell>
          <cell r="K9">
            <v>2014</v>
          </cell>
          <cell r="L9">
            <v>2015</v>
          </cell>
          <cell r="M9">
            <v>2016</v>
          </cell>
          <cell r="N9">
            <v>2017</v>
          </cell>
          <cell r="O9">
            <v>2018</v>
          </cell>
          <cell r="P9">
            <v>2019</v>
          </cell>
          <cell r="Q9">
            <v>2020</v>
          </cell>
          <cell r="R9">
            <v>2021</v>
          </cell>
        </row>
        <row r="10">
          <cell r="A10" t="str">
            <v>1</v>
          </cell>
          <cell r="B10">
            <v>0</v>
          </cell>
          <cell r="C10">
            <v>0</v>
          </cell>
          <cell r="D10">
            <v>0</v>
          </cell>
        </row>
        <row r="11">
          <cell r="A11" t="str">
            <v>2</v>
          </cell>
          <cell r="B11">
            <v>0</v>
          </cell>
          <cell r="C11">
            <v>0</v>
          </cell>
          <cell r="D11">
            <v>0</v>
          </cell>
        </row>
        <row r="12">
          <cell r="A12" t="str">
            <v>3</v>
          </cell>
          <cell r="B12">
            <v>0</v>
          </cell>
          <cell r="C12">
            <v>0</v>
          </cell>
          <cell r="D12">
            <v>0</v>
          </cell>
        </row>
        <row r="13">
          <cell r="A13" t="str">
            <v>4</v>
          </cell>
          <cell r="B13">
            <v>0</v>
          </cell>
          <cell r="C13">
            <v>0</v>
          </cell>
          <cell r="D13">
            <v>0</v>
          </cell>
        </row>
        <row r="14">
          <cell r="A14" t="str">
            <v>5</v>
          </cell>
          <cell r="B14">
            <v>0</v>
          </cell>
          <cell r="C14">
            <v>0</v>
          </cell>
          <cell r="D14">
            <v>0</v>
          </cell>
        </row>
        <row r="15">
          <cell r="A15" t="str">
            <v>6</v>
          </cell>
          <cell r="B15">
            <v>0</v>
          </cell>
          <cell r="C15">
            <v>0</v>
          </cell>
          <cell r="D15">
            <v>0</v>
          </cell>
        </row>
        <row r="16">
          <cell r="A16" t="str">
            <v>7</v>
          </cell>
          <cell r="B16">
            <v>0</v>
          </cell>
          <cell r="C16">
            <v>0</v>
          </cell>
          <cell r="D16">
            <v>0</v>
          </cell>
        </row>
        <row r="17">
          <cell r="A17" t="str">
            <v>8</v>
          </cell>
          <cell r="B17">
            <v>0</v>
          </cell>
          <cell r="C17">
            <v>0</v>
          </cell>
          <cell r="D17">
            <v>0</v>
          </cell>
        </row>
        <row r="18">
          <cell r="A18" t="str">
            <v>9</v>
          </cell>
          <cell r="B18">
            <v>0</v>
          </cell>
          <cell r="C18">
            <v>0</v>
          </cell>
          <cell r="D18">
            <v>0</v>
          </cell>
        </row>
        <row r="19">
          <cell r="A19" t="str">
            <v>10</v>
          </cell>
          <cell r="B19">
            <v>0</v>
          </cell>
          <cell r="C19">
            <v>0</v>
          </cell>
          <cell r="D19">
            <v>0</v>
          </cell>
        </row>
        <row r="20">
          <cell r="A20" t="str">
            <v>11</v>
          </cell>
          <cell r="B20">
            <v>0</v>
          </cell>
          <cell r="C20">
            <v>0</v>
          </cell>
          <cell r="D20">
            <v>0</v>
          </cell>
        </row>
        <row r="21">
          <cell r="A21" t="str">
            <v>12</v>
          </cell>
          <cell r="B21">
            <v>0</v>
          </cell>
          <cell r="C21">
            <v>0</v>
          </cell>
          <cell r="D21">
            <v>0</v>
          </cell>
        </row>
        <row r="22">
          <cell r="A22" t="str">
            <v>13</v>
          </cell>
          <cell r="B22">
            <v>0</v>
          </cell>
          <cell r="C22">
            <v>0</v>
          </cell>
          <cell r="D22">
            <v>0</v>
          </cell>
        </row>
        <row r="23">
          <cell r="A23" t="str">
            <v>14</v>
          </cell>
          <cell r="B23">
            <v>0</v>
          </cell>
          <cell r="C23">
            <v>0</v>
          </cell>
          <cell r="D23">
            <v>0</v>
          </cell>
        </row>
        <row r="24">
          <cell r="A24" t="str">
            <v>15</v>
          </cell>
          <cell r="B24">
            <v>0</v>
          </cell>
          <cell r="C24">
            <v>0</v>
          </cell>
          <cell r="D24">
            <v>0</v>
          </cell>
        </row>
        <row r="25">
          <cell r="A25" t="str">
            <v>16</v>
          </cell>
          <cell r="B25">
            <v>0</v>
          </cell>
          <cell r="C25">
            <v>0</v>
          </cell>
          <cell r="D25">
            <v>0</v>
          </cell>
        </row>
        <row r="26">
          <cell r="A26" t="str">
            <v>17</v>
          </cell>
          <cell r="B26">
            <v>0</v>
          </cell>
          <cell r="C26">
            <v>0</v>
          </cell>
          <cell r="D26">
            <v>0</v>
          </cell>
        </row>
        <row r="27">
          <cell r="A27" t="str">
            <v>18</v>
          </cell>
          <cell r="B27">
            <v>0</v>
          </cell>
          <cell r="C27">
            <v>0</v>
          </cell>
          <cell r="D27">
            <v>0</v>
          </cell>
        </row>
        <row r="28">
          <cell r="A28" t="str">
            <v>19</v>
          </cell>
          <cell r="B28">
            <v>0</v>
          </cell>
          <cell r="C28">
            <v>0</v>
          </cell>
          <cell r="D28">
            <v>0</v>
          </cell>
        </row>
        <row r="29">
          <cell r="A29" t="str">
            <v>20</v>
          </cell>
          <cell r="B29">
            <v>0</v>
          </cell>
          <cell r="C29">
            <v>0</v>
          </cell>
          <cell r="D29">
            <v>0</v>
          </cell>
        </row>
        <row r="30">
          <cell r="A30" t="str">
            <v>21</v>
          </cell>
          <cell r="B30">
            <v>0</v>
          </cell>
          <cell r="C30">
            <v>0</v>
          </cell>
          <cell r="D30">
            <v>0</v>
          </cell>
        </row>
        <row r="31">
          <cell r="A31" t="str">
            <v>22</v>
          </cell>
          <cell r="B31">
            <v>0</v>
          </cell>
          <cell r="C31">
            <v>0</v>
          </cell>
          <cell r="D31">
            <v>0</v>
          </cell>
        </row>
        <row r="32">
          <cell r="A32" t="str">
            <v>23</v>
          </cell>
          <cell r="B32">
            <v>0</v>
          </cell>
          <cell r="C32">
            <v>0</v>
          </cell>
          <cell r="D32">
            <v>0</v>
          </cell>
        </row>
        <row r="33">
          <cell r="A33" t="str">
            <v>24</v>
          </cell>
          <cell r="B33">
            <v>0</v>
          </cell>
          <cell r="C33">
            <v>0</v>
          </cell>
          <cell r="D33">
            <v>0</v>
          </cell>
        </row>
        <row r="34">
          <cell r="A34" t="str">
            <v>25</v>
          </cell>
          <cell r="B34">
            <v>0</v>
          </cell>
          <cell r="C34">
            <v>0</v>
          </cell>
          <cell r="D34">
            <v>0</v>
          </cell>
        </row>
        <row r="35">
          <cell r="A35" t="str">
            <v>26</v>
          </cell>
          <cell r="B35">
            <v>0</v>
          </cell>
          <cell r="C35">
            <v>0</v>
          </cell>
          <cell r="D35">
            <v>0</v>
          </cell>
        </row>
        <row r="36">
          <cell r="A36" t="str">
            <v>27</v>
          </cell>
          <cell r="B36">
            <v>0</v>
          </cell>
          <cell r="C36">
            <v>0</v>
          </cell>
          <cell r="D36">
            <v>0</v>
          </cell>
        </row>
        <row r="37">
          <cell r="A37" t="str">
            <v>28</v>
          </cell>
          <cell r="B37">
            <v>0</v>
          </cell>
          <cell r="C37">
            <v>0</v>
          </cell>
          <cell r="D37">
            <v>0</v>
          </cell>
        </row>
        <row r="38">
          <cell r="A38" t="str">
            <v>29</v>
          </cell>
          <cell r="B38">
            <v>0</v>
          </cell>
          <cell r="C38">
            <v>0</v>
          </cell>
          <cell r="D38">
            <v>0</v>
          </cell>
        </row>
        <row r="39">
          <cell r="A39" t="str">
            <v>30</v>
          </cell>
          <cell r="B39">
            <v>0</v>
          </cell>
          <cell r="C39">
            <v>0</v>
          </cell>
          <cell r="D39">
            <v>0</v>
          </cell>
        </row>
        <row r="40">
          <cell r="A40" t="str">
            <v>31</v>
          </cell>
          <cell r="B40">
            <v>0</v>
          </cell>
          <cell r="C40">
            <v>0</v>
          </cell>
          <cell r="D40">
            <v>0</v>
          </cell>
        </row>
        <row r="41">
          <cell r="A41" t="str">
            <v>32</v>
          </cell>
          <cell r="B41">
            <v>0</v>
          </cell>
          <cell r="C41">
            <v>0</v>
          </cell>
          <cell r="D41">
            <v>0</v>
          </cell>
        </row>
        <row r="42">
          <cell r="A42" t="str">
            <v>33</v>
          </cell>
          <cell r="B42">
            <v>0</v>
          </cell>
          <cell r="C42">
            <v>0</v>
          </cell>
          <cell r="D42">
            <v>0</v>
          </cell>
        </row>
        <row r="43">
          <cell r="A43" t="str">
            <v>34</v>
          </cell>
          <cell r="B43">
            <v>0</v>
          </cell>
          <cell r="C43">
            <v>0</v>
          </cell>
          <cell r="D43">
            <v>0</v>
          </cell>
        </row>
        <row r="44">
          <cell r="A44" t="str">
            <v>35</v>
          </cell>
          <cell r="B44">
            <v>0</v>
          </cell>
          <cell r="C44">
            <v>0</v>
          </cell>
          <cell r="D44">
            <v>0</v>
          </cell>
        </row>
        <row r="45">
          <cell r="A45" t="str">
            <v>36</v>
          </cell>
          <cell r="B45">
            <v>0</v>
          </cell>
          <cell r="C45">
            <v>0</v>
          </cell>
          <cell r="D45">
            <v>0</v>
          </cell>
        </row>
        <row r="46">
          <cell r="A46" t="str">
            <v>37</v>
          </cell>
          <cell r="B46">
            <v>0</v>
          </cell>
          <cell r="C46">
            <v>0</v>
          </cell>
          <cell r="D46">
            <v>0</v>
          </cell>
        </row>
        <row r="47">
          <cell r="A47" t="str">
            <v>38</v>
          </cell>
          <cell r="B47">
            <v>0</v>
          </cell>
          <cell r="C47">
            <v>0</v>
          </cell>
          <cell r="D47">
            <v>0</v>
          </cell>
        </row>
        <row r="48">
          <cell r="A48" t="str">
            <v>39</v>
          </cell>
          <cell r="B48">
            <v>0</v>
          </cell>
          <cell r="C48">
            <v>0</v>
          </cell>
          <cell r="D48">
            <v>0</v>
          </cell>
        </row>
        <row r="49">
          <cell r="A49" t="str">
            <v>40</v>
          </cell>
          <cell r="B49">
            <v>0</v>
          </cell>
          <cell r="C49">
            <v>0</v>
          </cell>
          <cell r="D49">
            <v>0</v>
          </cell>
        </row>
        <row r="50">
          <cell r="A50" t="str">
            <v>41</v>
          </cell>
          <cell r="B50">
            <v>0</v>
          </cell>
          <cell r="C50">
            <v>0</v>
          </cell>
          <cell r="D50">
            <v>0</v>
          </cell>
        </row>
        <row r="51">
          <cell r="A51" t="str">
            <v>42</v>
          </cell>
          <cell r="B51">
            <v>0</v>
          </cell>
          <cell r="C51">
            <v>0</v>
          </cell>
          <cell r="D51">
            <v>0</v>
          </cell>
        </row>
        <row r="52">
          <cell r="A52" t="str">
            <v>43</v>
          </cell>
          <cell r="B52">
            <v>0</v>
          </cell>
          <cell r="C52">
            <v>0</v>
          </cell>
          <cell r="D52">
            <v>0</v>
          </cell>
        </row>
        <row r="53">
          <cell r="A53" t="str">
            <v>44</v>
          </cell>
          <cell r="B53">
            <v>0</v>
          </cell>
          <cell r="C53">
            <v>0</v>
          </cell>
          <cell r="D53">
            <v>0</v>
          </cell>
        </row>
        <row r="54">
          <cell r="A54" t="str">
            <v>45</v>
          </cell>
          <cell r="B54">
            <v>0</v>
          </cell>
          <cell r="C54">
            <v>0</v>
          </cell>
          <cell r="D54">
            <v>0</v>
          </cell>
        </row>
        <row r="55">
          <cell r="A55" t="str">
            <v>46</v>
          </cell>
          <cell r="B55">
            <v>0</v>
          </cell>
          <cell r="C55">
            <v>0</v>
          </cell>
          <cell r="D55">
            <v>0</v>
          </cell>
        </row>
        <row r="56">
          <cell r="A56" t="str">
            <v>47</v>
          </cell>
          <cell r="B56">
            <v>0</v>
          </cell>
          <cell r="C56">
            <v>0</v>
          </cell>
          <cell r="D56">
            <v>0</v>
          </cell>
        </row>
        <row r="57">
          <cell r="A57" t="str">
            <v>48</v>
          </cell>
          <cell r="B57">
            <v>0</v>
          </cell>
          <cell r="C57">
            <v>0</v>
          </cell>
          <cell r="D57">
            <v>0</v>
          </cell>
        </row>
        <row r="58">
          <cell r="A58" t="str">
            <v>49</v>
          </cell>
          <cell r="B58">
            <v>0</v>
          </cell>
          <cell r="C58">
            <v>0</v>
          </cell>
          <cell r="D58">
            <v>0</v>
          </cell>
        </row>
        <row r="59">
          <cell r="A59" t="str">
            <v>50</v>
          </cell>
          <cell r="B59">
            <v>0</v>
          </cell>
          <cell r="C59">
            <v>0</v>
          </cell>
          <cell r="D59">
            <v>0</v>
          </cell>
        </row>
        <row r="60">
          <cell r="A60" t="str">
            <v>51</v>
          </cell>
          <cell r="B60">
            <v>0</v>
          </cell>
          <cell r="C60">
            <v>0</v>
          </cell>
          <cell r="D60">
            <v>0</v>
          </cell>
        </row>
        <row r="61">
          <cell r="A61" t="str">
            <v>52</v>
          </cell>
          <cell r="B61">
            <v>0</v>
          </cell>
          <cell r="C61">
            <v>0</v>
          </cell>
          <cell r="D61">
            <v>0</v>
          </cell>
        </row>
        <row r="62">
          <cell r="A62" t="str">
            <v>53</v>
          </cell>
          <cell r="B62">
            <v>0</v>
          </cell>
          <cell r="C62">
            <v>0</v>
          </cell>
          <cell r="D62">
            <v>0</v>
          </cell>
        </row>
        <row r="63">
          <cell r="A63" t="str">
            <v>54</v>
          </cell>
          <cell r="B63">
            <v>0</v>
          </cell>
          <cell r="C63">
            <v>0</v>
          </cell>
          <cell r="D63">
            <v>0</v>
          </cell>
        </row>
        <row r="64">
          <cell r="A64" t="str">
            <v>55</v>
          </cell>
          <cell r="B64">
            <v>0</v>
          </cell>
          <cell r="C64">
            <v>0</v>
          </cell>
          <cell r="D64">
            <v>0</v>
          </cell>
        </row>
        <row r="65">
          <cell r="A65" t="str">
            <v>56</v>
          </cell>
          <cell r="B65">
            <v>0</v>
          </cell>
          <cell r="C65">
            <v>0</v>
          </cell>
          <cell r="D65">
            <v>0</v>
          </cell>
        </row>
        <row r="66">
          <cell r="A66" t="str">
            <v>57</v>
          </cell>
          <cell r="B66">
            <v>0</v>
          </cell>
          <cell r="C66">
            <v>0</v>
          </cell>
          <cell r="D66">
            <v>0</v>
          </cell>
        </row>
        <row r="67">
          <cell r="A67" t="str">
            <v>58</v>
          </cell>
          <cell r="B67">
            <v>0</v>
          </cell>
          <cell r="C67">
            <v>0</v>
          </cell>
          <cell r="D67">
            <v>0</v>
          </cell>
        </row>
        <row r="68">
          <cell r="A68" t="str">
            <v>59</v>
          </cell>
          <cell r="B68">
            <v>0</v>
          </cell>
          <cell r="C68">
            <v>0</v>
          </cell>
          <cell r="D68">
            <v>0</v>
          </cell>
        </row>
        <row r="69">
          <cell r="A69" t="str">
            <v>60</v>
          </cell>
          <cell r="B69">
            <v>0</v>
          </cell>
          <cell r="C69">
            <v>0</v>
          </cell>
          <cell r="D69">
            <v>0</v>
          </cell>
        </row>
        <row r="70">
          <cell r="A70" t="str">
            <v>61</v>
          </cell>
          <cell r="B70">
            <v>0</v>
          </cell>
          <cell r="C70">
            <v>0</v>
          </cell>
          <cell r="D70">
            <v>0</v>
          </cell>
        </row>
        <row r="71">
          <cell r="A71" t="str">
            <v>62</v>
          </cell>
          <cell r="B71">
            <v>0</v>
          </cell>
          <cell r="C71">
            <v>0</v>
          </cell>
          <cell r="D71">
            <v>0</v>
          </cell>
        </row>
        <row r="72">
          <cell r="A72" t="str">
            <v>63</v>
          </cell>
          <cell r="B72">
            <v>0</v>
          </cell>
          <cell r="C72">
            <v>0</v>
          </cell>
          <cell r="D72">
            <v>0</v>
          </cell>
        </row>
        <row r="73">
          <cell r="A73" t="str">
            <v>64</v>
          </cell>
          <cell r="B73">
            <v>0</v>
          </cell>
          <cell r="C73">
            <v>0</v>
          </cell>
          <cell r="D73">
            <v>0</v>
          </cell>
        </row>
        <row r="74">
          <cell r="A74" t="str">
            <v>65</v>
          </cell>
          <cell r="B74">
            <v>0</v>
          </cell>
          <cell r="C74">
            <v>0</v>
          </cell>
          <cell r="D74">
            <v>0</v>
          </cell>
        </row>
        <row r="75">
          <cell r="A75" t="str">
            <v>66</v>
          </cell>
          <cell r="B75">
            <v>0</v>
          </cell>
          <cell r="C75">
            <v>0</v>
          </cell>
          <cell r="D75">
            <v>0</v>
          </cell>
        </row>
        <row r="76">
          <cell r="A76" t="str">
            <v>67</v>
          </cell>
          <cell r="B76">
            <v>0</v>
          </cell>
          <cell r="C76">
            <v>0</v>
          </cell>
          <cell r="D76">
            <v>0</v>
          </cell>
        </row>
        <row r="77">
          <cell r="A77" t="str">
            <v>68</v>
          </cell>
          <cell r="B77">
            <v>0</v>
          </cell>
          <cell r="C77">
            <v>0</v>
          </cell>
          <cell r="D77">
            <v>0</v>
          </cell>
        </row>
        <row r="78">
          <cell r="A78" t="str">
            <v>69</v>
          </cell>
          <cell r="B78">
            <v>0</v>
          </cell>
          <cell r="C78">
            <v>0</v>
          </cell>
          <cell r="D78">
            <v>0</v>
          </cell>
        </row>
        <row r="79">
          <cell r="A79" t="str">
            <v>70</v>
          </cell>
          <cell r="B79">
            <v>0</v>
          </cell>
          <cell r="C79">
            <v>0</v>
          </cell>
          <cell r="D79">
            <v>0</v>
          </cell>
        </row>
        <row r="80">
          <cell r="A80" t="str">
            <v>71</v>
          </cell>
          <cell r="B80">
            <v>0</v>
          </cell>
          <cell r="C80">
            <v>0</v>
          </cell>
          <cell r="D80">
            <v>0</v>
          </cell>
        </row>
        <row r="81">
          <cell r="A81" t="str">
            <v>72</v>
          </cell>
          <cell r="B81">
            <v>0</v>
          </cell>
          <cell r="C81">
            <v>0</v>
          </cell>
          <cell r="D81">
            <v>0</v>
          </cell>
        </row>
        <row r="82">
          <cell r="A82" t="str">
            <v>73</v>
          </cell>
          <cell r="B82">
            <v>0</v>
          </cell>
          <cell r="C82">
            <v>0</v>
          </cell>
          <cell r="D82">
            <v>0</v>
          </cell>
        </row>
        <row r="83">
          <cell r="A83" t="str">
            <v>74</v>
          </cell>
          <cell r="B83">
            <v>0</v>
          </cell>
          <cell r="C83">
            <v>0</v>
          </cell>
          <cell r="D83">
            <v>0</v>
          </cell>
        </row>
        <row r="84">
          <cell r="A84" t="str">
            <v>75</v>
          </cell>
          <cell r="B84">
            <v>0</v>
          </cell>
          <cell r="C84">
            <v>0</v>
          </cell>
          <cell r="D84">
            <v>0</v>
          </cell>
        </row>
        <row r="85">
          <cell r="A85" t="str">
            <v>76</v>
          </cell>
          <cell r="B85">
            <v>0</v>
          </cell>
          <cell r="C85">
            <v>0</v>
          </cell>
          <cell r="D85">
            <v>0</v>
          </cell>
        </row>
        <row r="86">
          <cell r="A86" t="str">
            <v>77</v>
          </cell>
          <cell r="B86">
            <v>0</v>
          </cell>
          <cell r="C86">
            <v>0</v>
          </cell>
          <cell r="D86">
            <v>0</v>
          </cell>
        </row>
        <row r="87">
          <cell r="A87" t="str">
            <v>78</v>
          </cell>
          <cell r="B87">
            <v>0</v>
          </cell>
          <cell r="C87">
            <v>0</v>
          </cell>
          <cell r="D87">
            <v>0</v>
          </cell>
        </row>
        <row r="88">
          <cell r="A88" t="str">
            <v>79</v>
          </cell>
          <cell r="B88">
            <v>0</v>
          </cell>
          <cell r="C88">
            <v>0</v>
          </cell>
          <cell r="D88">
            <v>0</v>
          </cell>
        </row>
        <row r="89">
          <cell r="A89" t="str">
            <v>80</v>
          </cell>
          <cell r="B89">
            <v>0</v>
          </cell>
          <cell r="C89">
            <v>0</v>
          </cell>
          <cell r="D89">
            <v>0</v>
          </cell>
        </row>
        <row r="90">
          <cell r="A90" t="str">
            <v>81</v>
          </cell>
          <cell r="B90">
            <v>0</v>
          </cell>
          <cell r="C90">
            <v>0</v>
          </cell>
          <cell r="D90">
            <v>0</v>
          </cell>
        </row>
        <row r="91">
          <cell r="A91" t="str">
            <v>82</v>
          </cell>
          <cell r="B91">
            <v>0</v>
          </cell>
          <cell r="C91">
            <v>0</v>
          </cell>
          <cell r="D91">
            <v>0</v>
          </cell>
        </row>
        <row r="92">
          <cell r="A92" t="str">
            <v>83</v>
          </cell>
          <cell r="B92">
            <v>0</v>
          </cell>
          <cell r="C92">
            <v>0</v>
          </cell>
          <cell r="D92">
            <v>0</v>
          </cell>
        </row>
        <row r="93">
          <cell r="A93" t="str">
            <v>84</v>
          </cell>
          <cell r="B93">
            <v>0</v>
          </cell>
          <cell r="C93">
            <v>0</v>
          </cell>
          <cell r="D93">
            <v>0</v>
          </cell>
        </row>
        <row r="94">
          <cell r="A94" t="str">
            <v>85</v>
          </cell>
          <cell r="B94">
            <v>0</v>
          </cell>
          <cell r="C94">
            <v>0</v>
          </cell>
          <cell r="D94">
            <v>0</v>
          </cell>
        </row>
        <row r="95">
          <cell r="A95" t="str">
            <v>86</v>
          </cell>
          <cell r="B95">
            <v>0</v>
          </cell>
          <cell r="C95">
            <v>0</v>
          </cell>
          <cell r="D95">
            <v>0</v>
          </cell>
        </row>
        <row r="96">
          <cell r="A96" t="str">
            <v>87</v>
          </cell>
          <cell r="B96">
            <v>0</v>
          </cell>
          <cell r="C96">
            <v>0</v>
          </cell>
          <cell r="D96">
            <v>0</v>
          </cell>
        </row>
        <row r="97">
          <cell r="A97" t="str">
            <v>88</v>
          </cell>
          <cell r="B97">
            <v>0</v>
          </cell>
          <cell r="C97">
            <v>0</v>
          </cell>
          <cell r="D97">
            <v>0</v>
          </cell>
        </row>
        <row r="98">
          <cell r="A98" t="str">
            <v>89</v>
          </cell>
          <cell r="B98">
            <v>0</v>
          </cell>
          <cell r="C98">
            <v>0</v>
          </cell>
          <cell r="D98">
            <v>0</v>
          </cell>
        </row>
        <row r="99">
          <cell r="A99" t="str">
            <v>90</v>
          </cell>
          <cell r="B99">
            <v>0</v>
          </cell>
          <cell r="C99">
            <v>0</v>
          </cell>
          <cell r="D99">
            <v>0</v>
          </cell>
        </row>
        <row r="100">
          <cell r="A100" t="str">
            <v>91</v>
          </cell>
          <cell r="B100">
            <v>0</v>
          </cell>
          <cell r="C100">
            <v>0</v>
          </cell>
          <cell r="D100">
            <v>0</v>
          </cell>
        </row>
        <row r="101">
          <cell r="A101" t="str">
            <v>92</v>
          </cell>
          <cell r="B101">
            <v>0</v>
          </cell>
          <cell r="C101">
            <v>0</v>
          </cell>
          <cell r="D101">
            <v>0</v>
          </cell>
        </row>
        <row r="102">
          <cell r="A102" t="str">
            <v>93</v>
          </cell>
          <cell r="B102">
            <v>0</v>
          </cell>
          <cell r="C102">
            <v>0</v>
          </cell>
          <cell r="D102">
            <v>0</v>
          </cell>
        </row>
        <row r="103">
          <cell r="A103" t="str">
            <v>94</v>
          </cell>
          <cell r="B103">
            <v>0</v>
          </cell>
          <cell r="C103">
            <v>0</v>
          </cell>
          <cell r="D103">
            <v>0</v>
          </cell>
        </row>
        <row r="104">
          <cell r="A104" t="str">
            <v>95</v>
          </cell>
          <cell r="B104">
            <v>0</v>
          </cell>
          <cell r="C104">
            <v>0</v>
          </cell>
          <cell r="D104">
            <v>0</v>
          </cell>
        </row>
        <row r="105">
          <cell r="A105" t="str">
            <v>96</v>
          </cell>
          <cell r="B105">
            <v>0</v>
          </cell>
          <cell r="C105">
            <v>0</v>
          </cell>
          <cell r="D105">
            <v>0</v>
          </cell>
        </row>
        <row r="106">
          <cell r="A106" t="str">
            <v>97</v>
          </cell>
          <cell r="B106">
            <v>0</v>
          </cell>
          <cell r="C106">
            <v>0</v>
          </cell>
          <cell r="D106">
            <v>0</v>
          </cell>
        </row>
        <row r="107">
          <cell r="A107" t="str">
            <v>98</v>
          </cell>
          <cell r="B107">
            <v>0</v>
          </cell>
          <cell r="C107">
            <v>0</v>
          </cell>
          <cell r="D107">
            <v>0</v>
          </cell>
        </row>
        <row r="108">
          <cell r="A108" t="str">
            <v>99</v>
          </cell>
          <cell r="B108">
            <v>0</v>
          </cell>
          <cell r="C108">
            <v>0</v>
          </cell>
          <cell r="D108">
            <v>0</v>
          </cell>
        </row>
        <row r="109">
          <cell r="A109" t="str">
            <v>100</v>
          </cell>
          <cell r="B109">
            <v>0</v>
          </cell>
          <cell r="C109">
            <v>0</v>
          </cell>
          <cell r="D109">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Info Sheet"/>
      <sheetName val="Data"/>
      <sheetName val="Field Inv"/>
      <sheetName val="SoilTest Sch_"/>
      <sheetName val="Manr Analysis"/>
      <sheetName val="Manr Stor _1"/>
      <sheetName val="Manr Stor _2"/>
      <sheetName val="Manr Stor _3"/>
      <sheetName val="Manr Stor _4"/>
      <sheetName val="Manr Nutr Val"/>
      <sheetName val="Nutr Bal"/>
      <sheetName val="VT P Index"/>
      <sheetName val="Risk"/>
      <sheetName val="PlanSummaryCalc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Manure Drawdown"/>
      <sheetName val="PlanSummary"/>
      <sheetName val="Bla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Sheet1">
    <pageSetUpPr fitToPage="1"/>
  </sheetPr>
  <dimension ref="A1:K75"/>
  <sheetViews>
    <sheetView showGridLines="0" showRowColHeaders="0" workbookViewId="0">
      <selection activeCell="K1" sqref="K1:K65536"/>
    </sheetView>
  </sheetViews>
  <sheetFormatPr defaultColWidth="0" defaultRowHeight="15" zeroHeight="1"/>
  <cols>
    <col min="1" max="11" width="9.140625" customWidth="1"/>
  </cols>
  <sheetData>
    <row r="1" spans="1:11">
      <c r="A1" s="12"/>
      <c r="B1" s="12"/>
      <c r="C1" s="12"/>
      <c r="D1" s="12"/>
      <c r="E1" s="12"/>
      <c r="F1" s="12"/>
      <c r="G1" s="12"/>
      <c r="H1" s="12"/>
      <c r="I1" s="12"/>
      <c r="J1" s="12"/>
      <c r="K1" s="12"/>
    </row>
    <row r="2" spans="1:11">
      <c r="A2" s="12"/>
      <c r="B2" s="12"/>
      <c r="C2" s="12"/>
      <c r="D2" s="12"/>
      <c r="E2" s="12"/>
      <c r="F2" s="12"/>
      <c r="G2" s="12"/>
      <c r="H2" s="12"/>
      <c r="I2" s="12"/>
      <c r="J2" s="12"/>
      <c r="K2" s="12"/>
    </row>
    <row r="3" spans="1:11">
      <c r="A3" s="12"/>
      <c r="B3" s="12"/>
      <c r="C3" s="12"/>
      <c r="D3" s="12"/>
      <c r="E3" s="12"/>
      <c r="F3" s="12"/>
      <c r="G3" s="12"/>
      <c r="H3" s="12"/>
      <c r="I3" s="12"/>
      <c r="J3" s="12"/>
      <c r="K3" s="12"/>
    </row>
    <row r="4" spans="1:11">
      <c r="A4" s="12"/>
      <c r="B4" s="12"/>
      <c r="C4" s="12"/>
      <c r="D4" s="12"/>
      <c r="E4" s="12"/>
      <c r="F4" s="12"/>
      <c r="G4" s="12"/>
      <c r="H4" s="12"/>
      <c r="I4" s="12"/>
      <c r="J4" s="12"/>
      <c r="K4" s="12"/>
    </row>
    <row r="5" spans="1:11">
      <c r="A5" s="12"/>
      <c r="B5" s="12"/>
      <c r="C5" s="12"/>
      <c r="D5" s="12"/>
      <c r="E5" s="12"/>
      <c r="F5" s="12"/>
      <c r="G5" s="12"/>
      <c r="H5" s="12"/>
      <c r="I5" s="12"/>
      <c r="J5" s="12"/>
      <c r="K5" s="12"/>
    </row>
    <row r="6" spans="1:11">
      <c r="A6" s="12"/>
      <c r="B6" s="12"/>
      <c r="C6" s="12"/>
      <c r="D6" s="12"/>
      <c r="E6" s="12"/>
      <c r="F6" s="12"/>
      <c r="G6" s="12"/>
      <c r="H6" s="12"/>
      <c r="I6" s="12"/>
      <c r="J6" s="12"/>
      <c r="K6" s="12"/>
    </row>
    <row r="7" spans="1:11">
      <c r="A7" s="12"/>
      <c r="B7" s="12"/>
      <c r="C7" s="12"/>
      <c r="D7" s="12"/>
      <c r="E7" s="12"/>
      <c r="F7" s="12"/>
      <c r="G7" s="12"/>
      <c r="H7" s="12"/>
      <c r="I7" s="12"/>
      <c r="J7" s="12"/>
      <c r="K7" s="12"/>
    </row>
    <row r="8" spans="1:11">
      <c r="A8" s="12"/>
      <c r="B8" s="12"/>
      <c r="C8" s="12"/>
      <c r="D8" s="12"/>
      <c r="E8" s="12"/>
      <c r="F8" s="12"/>
      <c r="G8" s="12"/>
      <c r="H8" s="12"/>
      <c r="I8" s="12"/>
      <c r="J8" s="12"/>
      <c r="K8" s="12"/>
    </row>
    <row r="9" spans="1:11">
      <c r="A9" s="12"/>
      <c r="B9" s="12"/>
      <c r="C9" s="12"/>
      <c r="D9" s="12"/>
      <c r="E9" s="12"/>
      <c r="F9" s="12"/>
      <c r="G9" s="12"/>
      <c r="H9" s="12"/>
      <c r="I9" s="12"/>
      <c r="J9" s="12"/>
      <c r="K9" s="12"/>
    </row>
    <row r="10" spans="1:11">
      <c r="A10" s="12"/>
      <c r="B10" s="12"/>
      <c r="C10" s="12"/>
      <c r="D10" s="12"/>
      <c r="E10" s="12"/>
      <c r="F10" s="12"/>
      <c r="G10" s="12"/>
      <c r="H10" s="12"/>
      <c r="I10" s="12"/>
      <c r="J10" s="12"/>
      <c r="K10" s="12"/>
    </row>
    <row r="11" spans="1:11">
      <c r="A11" s="12"/>
      <c r="B11" s="12"/>
      <c r="C11" s="12"/>
      <c r="D11" s="12"/>
      <c r="E11" s="12"/>
      <c r="F11" s="12"/>
      <c r="G11" s="12"/>
      <c r="H11" s="12"/>
      <c r="I11" s="12"/>
      <c r="J11" s="12"/>
      <c r="K11" s="12"/>
    </row>
    <row r="12" spans="1:11">
      <c r="A12" s="12"/>
      <c r="B12" s="12"/>
      <c r="C12" s="12"/>
      <c r="D12" s="12"/>
      <c r="E12" s="12"/>
      <c r="F12" s="12"/>
      <c r="G12" s="12"/>
      <c r="H12" s="12"/>
      <c r="I12" s="12"/>
      <c r="J12" s="12"/>
      <c r="K12" s="12"/>
    </row>
    <row r="13" spans="1:11">
      <c r="A13" s="12"/>
      <c r="B13" s="12"/>
      <c r="C13" s="12"/>
      <c r="D13" s="12"/>
      <c r="E13" s="12"/>
      <c r="F13" s="12"/>
      <c r="G13" s="12"/>
      <c r="H13" s="12"/>
      <c r="I13" s="12"/>
      <c r="J13" s="12"/>
      <c r="K13" s="12"/>
    </row>
    <row r="14" spans="1:11">
      <c r="A14" s="12"/>
      <c r="B14" s="12"/>
      <c r="C14" s="12"/>
      <c r="D14" s="12"/>
      <c r="E14" s="12"/>
      <c r="F14" s="12"/>
      <c r="G14" s="12"/>
      <c r="H14" s="12"/>
      <c r="I14" s="12"/>
      <c r="J14" s="12"/>
      <c r="K14" s="12"/>
    </row>
    <row r="15" spans="1:11">
      <c r="A15" s="12"/>
      <c r="B15" s="12"/>
      <c r="C15" s="12"/>
      <c r="D15" s="12"/>
      <c r="E15" s="12"/>
      <c r="F15" s="12"/>
      <c r="G15" s="12"/>
      <c r="H15" s="12"/>
      <c r="I15" s="12"/>
      <c r="J15" s="12"/>
      <c r="K15" s="12"/>
    </row>
    <row r="16" spans="1:11">
      <c r="A16" s="12"/>
      <c r="B16" s="12"/>
      <c r="C16" s="12"/>
      <c r="D16" s="12"/>
      <c r="E16" s="12"/>
      <c r="F16" s="12"/>
      <c r="G16" s="12"/>
      <c r="H16" s="12"/>
      <c r="I16" s="12"/>
      <c r="J16" s="12"/>
      <c r="K16" s="12"/>
    </row>
    <row r="17" spans="1:11">
      <c r="A17" s="12"/>
      <c r="B17" s="12"/>
      <c r="C17" s="12"/>
      <c r="D17" s="12"/>
      <c r="E17" s="12"/>
      <c r="F17" s="12"/>
      <c r="G17" s="12"/>
      <c r="H17" s="12"/>
      <c r="I17" s="12"/>
      <c r="J17" s="12"/>
      <c r="K17" s="12"/>
    </row>
    <row r="18" spans="1:11">
      <c r="A18" s="12"/>
      <c r="B18" s="12"/>
      <c r="C18" s="12"/>
      <c r="D18" s="12"/>
      <c r="E18" s="12"/>
      <c r="F18" s="12"/>
      <c r="G18" s="12"/>
      <c r="H18" s="12"/>
      <c r="I18" s="12"/>
      <c r="J18" s="12"/>
      <c r="K18" s="12"/>
    </row>
    <row r="19" spans="1:11">
      <c r="A19" s="12"/>
      <c r="B19" s="12"/>
      <c r="C19" s="12"/>
      <c r="D19" s="12"/>
      <c r="E19" s="12"/>
      <c r="F19" s="12"/>
      <c r="G19" s="12"/>
      <c r="H19" s="12"/>
      <c r="I19" s="12"/>
      <c r="J19" s="12"/>
      <c r="K19" s="12"/>
    </row>
    <row r="20" spans="1:11">
      <c r="A20" s="12"/>
      <c r="B20" s="12"/>
      <c r="C20" s="12"/>
      <c r="D20" s="12"/>
      <c r="E20" s="12"/>
      <c r="F20" s="12"/>
      <c r="G20" s="12"/>
      <c r="H20" s="12"/>
      <c r="I20" s="12"/>
      <c r="J20" s="12"/>
      <c r="K20" s="12"/>
    </row>
    <row r="21" spans="1:11">
      <c r="A21" s="12"/>
      <c r="B21" s="12"/>
      <c r="C21" s="12"/>
      <c r="D21" s="12"/>
      <c r="E21" s="12"/>
      <c r="F21" s="12"/>
      <c r="G21" s="12"/>
      <c r="H21" s="12"/>
      <c r="I21" s="12"/>
      <c r="J21" s="12"/>
      <c r="K21" s="12"/>
    </row>
    <row r="22" spans="1:11">
      <c r="A22" s="12"/>
      <c r="B22" s="12"/>
      <c r="C22" s="12"/>
      <c r="D22" s="12"/>
      <c r="E22" s="12"/>
      <c r="F22" s="12"/>
      <c r="G22" s="12"/>
      <c r="H22" s="12"/>
      <c r="I22" s="12"/>
      <c r="J22" s="12"/>
      <c r="K22" s="12"/>
    </row>
    <row r="23" spans="1:11">
      <c r="A23" s="12"/>
      <c r="B23" s="12"/>
      <c r="C23" s="12"/>
      <c r="D23" s="12"/>
      <c r="E23" s="12"/>
      <c r="F23" s="12"/>
      <c r="G23" s="12"/>
      <c r="H23" s="12"/>
      <c r="I23" s="12"/>
      <c r="J23" s="12"/>
      <c r="K23" s="12"/>
    </row>
    <row r="24" spans="1:11">
      <c r="A24" s="12"/>
      <c r="B24" s="12"/>
      <c r="C24" s="12"/>
      <c r="D24" s="12"/>
      <c r="E24" s="12"/>
      <c r="F24" s="12"/>
      <c r="G24" s="12"/>
      <c r="H24" s="12"/>
      <c r="I24" s="12"/>
      <c r="J24" s="12"/>
      <c r="K24" s="12"/>
    </row>
    <row r="25" spans="1:11">
      <c r="A25" s="12"/>
      <c r="B25" s="12"/>
      <c r="C25" s="12"/>
      <c r="D25" s="12"/>
      <c r="E25" s="12"/>
      <c r="F25" s="12"/>
      <c r="G25" s="12"/>
      <c r="H25" s="12"/>
      <c r="I25" s="12"/>
      <c r="J25" s="12"/>
      <c r="K25" s="12"/>
    </row>
    <row r="26" spans="1:11">
      <c r="A26" s="12"/>
      <c r="B26" s="12"/>
      <c r="C26" s="12"/>
      <c r="D26" s="12"/>
      <c r="E26" s="12"/>
      <c r="F26" s="12"/>
      <c r="G26" s="12"/>
      <c r="H26" s="12"/>
      <c r="I26" s="12"/>
      <c r="J26" s="12"/>
      <c r="K26" s="12"/>
    </row>
    <row r="27" spans="1:11">
      <c r="A27" s="12"/>
      <c r="B27" s="12"/>
      <c r="C27" s="12"/>
      <c r="D27" s="12"/>
      <c r="E27" s="12"/>
      <c r="F27" s="12"/>
      <c r="G27" s="12"/>
      <c r="H27" s="12"/>
      <c r="I27" s="12"/>
      <c r="J27" s="12"/>
      <c r="K27" s="12"/>
    </row>
    <row r="28" spans="1:11">
      <c r="A28" s="12"/>
      <c r="B28" s="12"/>
      <c r="C28" s="12"/>
      <c r="D28" s="12"/>
      <c r="E28" s="12"/>
      <c r="F28" s="12"/>
      <c r="G28" s="12"/>
      <c r="H28" s="12"/>
      <c r="I28" s="12"/>
      <c r="J28" s="12"/>
      <c r="K28" s="12"/>
    </row>
    <row r="29" spans="1:11">
      <c r="A29" s="12"/>
      <c r="B29" s="12"/>
      <c r="C29" s="12"/>
      <c r="D29" s="12"/>
      <c r="E29" s="12"/>
      <c r="F29" s="12"/>
      <c r="G29" s="12"/>
      <c r="H29" s="12"/>
      <c r="I29" s="12"/>
      <c r="J29" s="12"/>
      <c r="K29" s="12"/>
    </row>
    <row r="30" spans="1:11">
      <c r="A30" s="12"/>
      <c r="B30" s="12"/>
      <c r="C30" s="12"/>
      <c r="D30" s="12"/>
      <c r="E30" s="12"/>
      <c r="F30" s="12"/>
      <c r="G30" s="12"/>
      <c r="H30" s="12"/>
      <c r="I30" s="12"/>
      <c r="J30" s="12"/>
      <c r="K30" s="12"/>
    </row>
    <row r="31" spans="1:11">
      <c r="A31" s="12"/>
      <c r="B31" s="12"/>
      <c r="C31" s="12"/>
      <c r="D31" s="12"/>
      <c r="E31" s="12"/>
      <c r="F31" s="12"/>
      <c r="G31" s="12"/>
      <c r="H31" s="12"/>
      <c r="I31" s="12"/>
      <c r="J31" s="12"/>
      <c r="K31" s="12"/>
    </row>
    <row r="32" spans="1:11">
      <c r="A32" s="12"/>
      <c r="B32" s="12"/>
      <c r="C32" s="12"/>
      <c r="D32" s="12"/>
      <c r="E32" s="12"/>
      <c r="F32" s="12"/>
      <c r="G32" s="12"/>
      <c r="H32" s="12"/>
      <c r="I32" s="12"/>
      <c r="J32" s="12"/>
      <c r="K32" s="12"/>
    </row>
    <row r="33" spans="1:11">
      <c r="A33" s="12"/>
      <c r="B33" s="12"/>
      <c r="C33" s="12"/>
      <c r="D33" s="12"/>
      <c r="E33" s="12"/>
      <c r="F33" s="12"/>
      <c r="G33" s="12"/>
      <c r="H33" s="12"/>
      <c r="I33" s="12"/>
      <c r="J33" s="12"/>
      <c r="K33" s="12"/>
    </row>
    <row r="34" spans="1:11">
      <c r="A34" s="12"/>
      <c r="B34" s="12"/>
      <c r="C34" s="12"/>
      <c r="D34" s="12"/>
      <c r="E34" s="12"/>
      <c r="F34" s="12"/>
      <c r="G34" s="12"/>
      <c r="H34" s="12"/>
      <c r="I34" s="12"/>
      <c r="J34" s="12"/>
      <c r="K34" s="12"/>
    </row>
    <row r="35" spans="1:11">
      <c r="A35" s="12"/>
      <c r="B35" s="12"/>
      <c r="C35" s="12"/>
      <c r="D35" s="12"/>
      <c r="E35" s="12"/>
      <c r="F35" s="12"/>
      <c r="G35" s="12"/>
      <c r="H35" s="12"/>
      <c r="I35" s="12"/>
      <c r="J35" s="12"/>
      <c r="K35" s="12"/>
    </row>
    <row r="36" spans="1:11">
      <c r="A36" s="12"/>
      <c r="B36" s="12"/>
      <c r="C36" s="12"/>
      <c r="D36" s="12"/>
      <c r="E36" s="12"/>
      <c r="F36" s="12"/>
      <c r="G36" s="12"/>
      <c r="H36" s="12"/>
      <c r="I36" s="12"/>
      <c r="J36" s="12"/>
      <c r="K36" s="12"/>
    </row>
    <row r="37" spans="1:11">
      <c r="A37" s="12"/>
      <c r="B37" s="12"/>
      <c r="C37" s="12"/>
      <c r="D37" s="12"/>
      <c r="E37" s="12"/>
      <c r="F37" s="12"/>
      <c r="G37" s="12"/>
      <c r="H37" s="12"/>
      <c r="I37" s="12"/>
      <c r="J37" s="12"/>
      <c r="K37" s="12"/>
    </row>
    <row r="38" spans="1:11">
      <c r="A38" s="12"/>
      <c r="B38" s="12"/>
      <c r="C38" s="12"/>
      <c r="D38" s="12"/>
      <c r="E38" s="12"/>
      <c r="F38" s="12"/>
      <c r="G38" s="12"/>
      <c r="H38" s="12"/>
      <c r="I38" s="12"/>
      <c r="J38" s="12"/>
      <c r="K38" s="12"/>
    </row>
    <row r="39" spans="1:11">
      <c r="A39" s="12"/>
      <c r="B39" s="12"/>
      <c r="C39" s="12"/>
      <c r="D39" s="12"/>
      <c r="E39" s="12"/>
      <c r="F39" s="12"/>
      <c r="G39" s="12"/>
      <c r="H39" s="12"/>
      <c r="I39" s="12"/>
      <c r="J39" s="12"/>
      <c r="K39" s="12"/>
    </row>
    <row r="40" spans="1:11">
      <c r="A40" s="12"/>
      <c r="B40" s="12"/>
      <c r="C40" s="12"/>
      <c r="D40" s="12"/>
      <c r="E40" s="12"/>
      <c r="F40" s="12"/>
      <c r="G40" s="12"/>
      <c r="H40" s="12"/>
      <c r="I40" s="12"/>
      <c r="J40" s="12"/>
      <c r="K40" s="12"/>
    </row>
    <row r="41" spans="1:11">
      <c r="A41" s="12"/>
      <c r="B41" s="12"/>
      <c r="C41" s="12"/>
      <c r="D41" s="12"/>
      <c r="E41" s="12"/>
      <c r="F41" s="12"/>
      <c r="G41" s="12"/>
      <c r="H41" s="12"/>
      <c r="I41" s="12"/>
      <c r="J41" s="12"/>
      <c r="K41" s="12"/>
    </row>
    <row r="42" spans="1:11">
      <c r="A42" s="12"/>
      <c r="B42" s="12"/>
      <c r="C42" s="12"/>
      <c r="D42" s="12"/>
      <c r="E42" s="12"/>
      <c r="F42" s="12"/>
      <c r="G42" s="12"/>
      <c r="H42" s="12"/>
      <c r="I42" s="12"/>
      <c r="J42" s="12"/>
      <c r="K42" s="12"/>
    </row>
    <row r="43" spans="1:11">
      <c r="A43" s="12"/>
      <c r="B43" s="12"/>
      <c r="C43" s="12"/>
      <c r="D43" s="12"/>
      <c r="E43" s="12"/>
      <c r="F43" s="12"/>
      <c r="G43" s="12"/>
      <c r="H43" s="12"/>
      <c r="I43" s="12"/>
      <c r="J43" s="12"/>
      <c r="K43" s="12"/>
    </row>
    <row r="44" spans="1:11">
      <c r="A44" s="12"/>
      <c r="B44" s="12"/>
      <c r="C44" s="12"/>
      <c r="D44" s="12"/>
      <c r="E44" s="12"/>
      <c r="F44" s="12"/>
      <c r="G44" s="12"/>
      <c r="H44" s="12"/>
      <c r="I44" s="12"/>
      <c r="J44" s="12"/>
      <c r="K44" s="12"/>
    </row>
    <row r="45" spans="1:11">
      <c r="A45" s="12"/>
      <c r="B45" s="12"/>
      <c r="C45" s="12"/>
      <c r="D45" s="12"/>
      <c r="E45" s="12"/>
      <c r="F45" s="12"/>
      <c r="G45" s="12"/>
      <c r="H45" s="12"/>
      <c r="I45" s="12"/>
      <c r="J45" s="12"/>
      <c r="K45" s="12"/>
    </row>
    <row r="46" spans="1:11">
      <c r="A46" s="12"/>
      <c r="B46" s="12"/>
      <c r="C46" s="12"/>
      <c r="D46" s="12"/>
      <c r="E46" s="12"/>
      <c r="F46" s="12"/>
      <c r="G46" s="12"/>
      <c r="H46" s="12"/>
      <c r="I46" s="12"/>
      <c r="J46" s="12"/>
      <c r="K46" s="12"/>
    </row>
    <row r="47" spans="1:11">
      <c r="A47" s="12"/>
      <c r="B47" s="12"/>
      <c r="C47" s="12"/>
      <c r="D47" s="12"/>
      <c r="E47" s="12"/>
      <c r="F47" s="12"/>
      <c r="G47" s="12"/>
      <c r="H47" s="12"/>
      <c r="I47" s="12"/>
      <c r="J47" s="12"/>
      <c r="K47" s="12"/>
    </row>
    <row r="48" spans="1:11">
      <c r="A48" s="12"/>
      <c r="B48" s="12"/>
      <c r="C48" s="12"/>
      <c r="D48" s="12"/>
      <c r="E48" s="12"/>
      <c r="F48" s="12"/>
      <c r="G48" s="12"/>
      <c r="H48" s="12"/>
      <c r="I48" s="12"/>
      <c r="J48" s="12"/>
      <c r="K48" s="12"/>
    </row>
    <row r="49" spans="1:11">
      <c r="A49" s="12"/>
      <c r="B49" s="12"/>
      <c r="C49" s="12"/>
      <c r="D49" s="12"/>
      <c r="E49" s="12"/>
      <c r="F49" s="12"/>
      <c r="G49" s="12"/>
      <c r="H49" s="12"/>
      <c r="I49" s="12"/>
      <c r="J49" s="12"/>
      <c r="K49" s="12"/>
    </row>
    <row r="50" spans="1:11">
      <c r="A50" s="12"/>
      <c r="B50" s="12"/>
      <c r="C50" s="12"/>
      <c r="D50" s="12"/>
      <c r="E50" s="12"/>
      <c r="F50" s="12"/>
      <c r="G50" s="12"/>
      <c r="H50" s="12"/>
      <c r="I50" s="12"/>
      <c r="J50" s="12"/>
      <c r="K50" s="12"/>
    </row>
    <row r="51" spans="1:11">
      <c r="A51" s="12"/>
      <c r="B51" s="12"/>
      <c r="C51" s="12"/>
      <c r="D51" s="12"/>
      <c r="E51" s="12"/>
      <c r="F51" s="12"/>
      <c r="G51" s="12"/>
      <c r="H51" s="12"/>
      <c r="I51" s="12"/>
      <c r="J51" s="12"/>
      <c r="K51" s="12"/>
    </row>
    <row r="52" spans="1:11">
      <c r="A52" s="12"/>
      <c r="B52" s="12"/>
      <c r="C52" s="12"/>
      <c r="D52" s="12"/>
      <c r="E52" s="12"/>
      <c r="F52" s="12"/>
      <c r="G52" s="12"/>
      <c r="H52" s="12"/>
      <c r="I52" s="12"/>
      <c r="J52" s="12"/>
      <c r="K52" s="12"/>
    </row>
    <row r="53" spans="1:11">
      <c r="A53" s="12"/>
      <c r="B53" s="12"/>
      <c r="C53" s="12"/>
      <c r="D53" s="12"/>
      <c r="E53" s="12"/>
      <c r="F53" s="12"/>
      <c r="G53" s="12"/>
      <c r="H53" s="12"/>
      <c r="I53" s="12"/>
      <c r="J53" s="12"/>
      <c r="K53" s="12"/>
    </row>
    <row r="54" spans="1:11">
      <c r="A54" s="12"/>
      <c r="B54" s="12"/>
      <c r="C54" s="12"/>
      <c r="D54" s="12"/>
      <c r="E54" s="12"/>
      <c r="F54" s="12"/>
      <c r="G54" s="12"/>
      <c r="H54" s="12"/>
      <c r="I54" s="12"/>
      <c r="J54" s="12"/>
      <c r="K54" s="12"/>
    </row>
    <row r="55" spans="1:11">
      <c r="A55" s="12"/>
      <c r="B55" s="12"/>
      <c r="C55" s="12"/>
      <c r="D55" s="12"/>
      <c r="E55" s="12"/>
      <c r="F55" s="12"/>
      <c r="G55" s="12"/>
      <c r="H55" s="12"/>
      <c r="I55" s="12"/>
      <c r="J55" s="12"/>
      <c r="K55" s="12"/>
    </row>
    <row r="56" spans="1:11">
      <c r="A56" s="12"/>
      <c r="B56" s="12"/>
      <c r="C56" s="12"/>
      <c r="D56" s="12"/>
      <c r="E56" s="12"/>
      <c r="F56" s="12"/>
      <c r="G56" s="12"/>
      <c r="H56" s="12"/>
      <c r="I56" s="12"/>
      <c r="J56" s="12"/>
      <c r="K56" s="12"/>
    </row>
    <row r="57" spans="1:11">
      <c r="A57" s="12"/>
      <c r="B57" s="12"/>
      <c r="C57" s="12"/>
      <c r="D57" s="12"/>
      <c r="E57" s="12"/>
      <c r="F57" s="12"/>
      <c r="G57" s="12"/>
      <c r="H57" s="12"/>
      <c r="I57" s="12"/>
      <c r="J57" s="12"/>
      <c r="K57" s="12"/>
    </row>
    <row r="58" spans="1:11">
      <c r="A58" s="12"/>
      <c r="B58" s="12"/>
      <c r="C58" s="12"/>
      <c r="D58" s="12"/>
      <c r="E58" s="12"/>
      <c r="F58" s="12"/>
      <c r="G58" s="12"/>
      <c r="H58" s="12"/>
      <c r="I58" s="12"/>
      <c r="J58" s="12"/>
      <c r="K58" s="12"/>
    </row>
    <row r="59" spans="1:11">
      <c r="A59" s="12"/>
      <c r="B59" s="12"/>
      <c r="C59" s="12"/>
      <c r="D59" s="12"/>
      <c r="E59" s="12"/>
      <c r="F59" s="12"/>
      <c r="G59" s="12"/>
      <c r="H59" s="12"/>
      <c r="I59" s="12"/>
      <c r="J59" s="12"/>
      <c r="K59" s="12"/>
    </row>
    <row r="60" spans="1:11">
      <c r="A60" s="12"/>
      <c r="B60" s="12"/>
      <c r="C60" s="12"/>
      <c r="D60" s="12"/>
      <c r="E60" s="12"/>
      <c r="F60" s="12"/>
      <c r="G60" s="12"/>
      <c r="H60" s="12"/>
      <c r="I60" s="12"/>
      <c r="J60" s="12"/>
      <c r="K60" s="12"/>
    </row>
    <row r="61" spans="1:11">
      <c r="A61" s="12"/>
      <c r="B61" s="12"/>
      <c r="C61" s="12"/>
      <c r="D61" s="12"/>
      <c r="E61" s="12"/>
      <c r="F61" s="12"/>
      <c r="G61" s="12"/>
      <c r="H61" s="12"/>
      <c r="I61" s="12"/>
      <c r="J61" s="12"/>
      <c r="K61" s="12"/>
    </row>
    <row r="62" spans="1:11">
      <c r="A62" s="12"/>
      <c r="B62" s="12"/>
      <c r="C62" s="12"/>
      <c r="D62" s="12"/>
      <c r="E62" s="12"/>
      <c r="F62" s="12"/>
      <c r="G62" s="12"/>
      <c r="H62" s="12"/>
      <c r="I62" s="12"/>
      <c r="J62" s="12"/>
      <c r="K62" s="12"/>
    </row>
    <row r="63" spans="1:11" hidden="1">
      <c r="A63" s="12"/>
      <c r="B63" s="12"/>
      <c r="C63" s="12"/>
      <c r="D63" s="12"/>
      <c r="E63" s="12"/>
      <c r="F63" s="12"/>
      <c r="G63" s="12"/>
      <c r="H63" s="12"/>
      <c r="I63" s="12"/>
      <c r="J63" s="12"/>
      <c r="K63" s="12"/>
    </row>
    <row r="64" spans="1:11" hidden="1">
      <c r="A64" s="12"/>
      <c r="B64" s="12"/>
      <c r="C64" s="12"/>
      <c r="D64" s="12"/>
      <c r="E64" s="12"/>
      <c r="F64" s="12"/>
      <c r="G64" s="12"/>
      <c r="H64" s="12"/>
      <c r="I64" s="12"/>
      <c r="J64" s="12"/>
      <c r="K64" s="12"/>
    </row>
    <row r="65" spans="1:11" hidden="1">
      <c r="A65" s="12"/>
      <c r="B65" s="12"/>
      <c r="C65" s="12"/>
      <c r="D65" s="12"/>
      <c r="E65" s="12"/>
      <c r="F65" s="12"/>
      <c r="G65" s="12"/>
      <c r="H65" s="12"/>
      <c r="I65" s="12"/>
      <c r="J65" s="12"/>
      <c r="K65" s="12"/>
    </row>
    <row r="66" spans="1:11" hidden="1">
      <c r="A66" s="12"/>
      <c r="B66" s="12"/>
      <c r="C66" s="12"/>
      <c r="D66" s="12"/>
      <c r="E66" s="12"/>
      <c r="F66" s="12"/>
      <c r="G66" s="12"/>
      <c r="H66" s="12"/>
      <c r="I66" s="12"/>
      <c r="J66" s="12"/>
      <c r="K66" s="12"/>
    </row>
    <row r="67" spans="1:11" hidden="1">
      <c r="A67" s="12"/>
      <c r="B67" s="12"/>
      <c r="C67" s="12"/>
      <c r="D67" s="12"/>
      <c r="E67" s="12"/>
      <c r="F67" s="12"/>
      <c r="G67" s="12"/>
      <c r="H67" s="12"/>
      <c r="I67" s="12"/>
      <c r="J67" s="12"/>
      <c r="K67" s="12"/>
    </row>
    <row r="68" spans="1:11" hidden="1">
      <c r="A68" s="12"/>
      <c r="B68" s="12"/>
      <c r="C68" s="12"/>
      <c r="D68" s="12"/>
      <c r="E68" s="12"/>
      <c r="F68" s="12"/>
      <c r="G68" s="12"/>
      <c r="H68" s="12"/>
      <c r="I68" s="12"/>
      <c r="J68" s="12"/>
      <c r="K68" s="12"/>
    </row>
    <row r="69" spans="1:11" hidden="1">
      <c r="A69" s="12"/>
      <c r="B69" s="12"/>
      <c r="C69" s="12"/>
      <c r="D69" s="12"/>
      <c r="E69" s="12"/>
      <c r="F69" s="12"/>
      <c r="G69" s="12"/>
      <c r="H69" s="12"/>
      <c r="I69" s="12"/>
      <c r="J69" s="12"/>
      <c r="K69" s="12"/>
    </row>
    <row r="70" spans="1:11" hidden="1">
      <c r="A70" s="12"/>
      <c r="B70" s="12"/>
      <c r="C70" s="12"/>
      <c r="D70" s="12"/>
      <c r="E70" s="12"/>
      <c r="F70" s="12"/>
      <c r="G70" s="12"/>
      <c r="H70" s="12"/>
      <c r="I70" s="12"/>
      <c r="J70" s="12"/>
      <c r="K70" s="12"/>
    </row>
    <row r="71" spans="1:11" hidden="1">
      <c r="A71" s="12"/>
      <c r="B71" s="12"/>
      <c r="C71" s="12"/>
      <c r="D71" s="12"/>
      <c r="E71" s="12"/>
      <c r="F71" s="12"/>
      <c r="G71" s="12"/>
      <c r="H71" s="12"/>
      <c r="I71" s="12"/>
      <c r="J71" s="12"/>
      <c r="K71" s="12"/>
    </row>
    <row r="72" spans="1:11" hidden="1">
      <c r="A72" s="12"/>
      <c r="B72" s="12"/>
      <c r="C72" s="12"/>
      <c r="D72" s="12"/>
      <c r="E72" s="12"/>
      <c r="F72" s="12"/>
      <c r="G72" s="12"/>
      <c r="H72" s="12"/>
      <c r="I72" s="12"/>
      <c r="J72" s="12"/>
      <c r="K72" s="12"/>
    </row>
    <row r="73" spans="1:11" hidden="1">
      <c r="A73" s="12"/>
      <c r="B73" s="12"/>
      <c r="C73" s="12"/>
      <c r="D73" s="12"/>
      <c r="E73" s="12"/>
      <c r="F73" s="12"/>
      <c r="G73" s="12"/>
      <c r="H73" s="12"/>
      <c r="I73" s="12"/>
      <c r="J73" s="12"/>
      <c r="K73" s="12"/>
    </row>
    <row r="74" spans="1:11" hidden="1">
      <c r="A74" s="12"/>
      <c r="B74" s="12"/>
      <c r="C74" s="12"/>
      <c r="D74" s="12"/>
      <c r="E74" s="12"/>
      <c r="F74" s="12"/>
      <c r="G74" s="12"/>
      <c r="H74" s="12"/>
      <c r="I74" s="12"/>
      <c r="J74" s="12"/>
      <c r="K74" s="12"/>
    </row>
    <row r="75" spans="1:11" hidden="1">
      <c r="A75" s="12"/>
      <c r="B75" s="12"/>
      <c r="C75" s="12"/>
      <c r="D75" s="12"/>
      <c r="E75" s="12"/>
      <c r="F75" s="12"/>
      <c r="G75" s="12"/>
      <c r="H75" s="12"/>
      <c r="I75" s="12"/>
      <c r="J75" s="12"/>
      <c r="K75" s="12"/>
    </row>
  </sheetData>
  <sheetProtection sheet="1" selectLockedCells="1"/>
  <phoneticPr fontId="13" type="noConversion"/>
  <pageMargins left="0.7" right="0.7" top="0.75" bottom="0.75" header="0.3" footer="0.3"/>
  <pageSetup scale="89" fitToHeight="2" orientation="portrait" verticalDpi="0" r:id="rId1"/>
  <drawing r:id="rId2"/>
  <legacyDrawingHF r:id="rId3"/>
</worksheet>
</file>

<file path=xl/worksheets/sheet10.xml><?xml version="1.0" encoding="utf-8"?>
<worksheet xmlns="http://schemas.openxmlformats.org/spreadsheetml/2006/main" xmlns:r="http://schemas.openxmlformats.org/officeDocument/2006/relationships">
  <dimension ref="A1:AH20"/>
  <sheetViews>
    <sheetView showGridLines="0" showRowColHeaders="0" topLeftCell="B2" workbookViewId="0">
      <selection activeCell="J3" sqref="J3"/>
    </sheetView>
  </sheetViews>
  <sheetFormatPr defaultColWidth="0" defaultRowHeight="15" zeroHeight="1"/>
  <cols>
    <col min="1" max="1" width="0" hidden="1" customWidth="1"/>
    <col min="2" max="2" width="14.42578125" customWidth="1"/>
    <col min="3" max="4" width="9.140625" customWidth="1"/>
    <col min="5" max="5" width="9.140625" hidden="1" customWidth="1"/>
    <col min="6" max="6" width="9.140625" customWidth="1"/>
    <col min="7" max="7" width="10.85546875" customWidth="1"/>
    <col min="8" max="8" width="9.140625" customWidth="1"/>
    <col min="9" max="9" width="9.140625" hidden="1" customWidth="1"/>
    <col min="10" max="10" width="9.140625" customWidth="1"/>
    <col min="11" max="11" width="10.28515625" customWidth="1"/>
    <col min="12" max="12" width="9.140625" customWidth="1"/>
    <col min="13" max="13" width="9.140625" hidden="1" customWidth="1"/>
    <col min="14" max="14" width="9.140625" customWidth="1"/>
    <col min="15" max="15" width="10.7109375" customWidth="1"/>
  </cols>
  <sheetData>
    <row r="1" spans="1:34" hidden="1">
      <c r="A1" s="489"/>
      <c r="B1" s="489"/>
      <c r="C1" s="489"/>
      <c r="D1" s="489"/>
      <c r="E1" s="489"/>
      <c r="F1" s="489"/>
      <c r="G1" s="489"/>
      <c r="H1" s="489"/>
      <c r="I1" s="489"/>
      <c r="J1" s="489"/>
      <c r="K1" s="489"/>
      <c r="L1" s="489"/>
      <c r="M1" s="489"/>
      <c r="N1" s="489"/>
      <c r="Q1" s="481" t="s">
        <v>811</v>
      </c>
      <c r="R1" s="25"/>
      <c r="S1" s="25"/>
      <c r="T1" s="455"/>
      <c r="U1" s="455"/>
      <c r="V1" s="482"/>
    </row>
    <row r="2" spans="1:34" ht="105">
      <c r="A2" s="489"/>
      <c r="B2" s="492" t="s">
        <v>0</v>
      </c>
      <c r="C2" s="530" t="s">
        <v>766</v>
      </c>
      <c r="D2" s="515" t="s">
        <v>765</v>
      </c>
      <c r="E2" s="516" t="s">
        <v>767</v>
      </c>
      <c r="F2" s="516" t="s">
        <v>828</v>
      </c>
      <c r="G2" s="516" t="s">
        <v>768</v>
      </c>
      <c r="H2" s="496" t="s">
        <v>831</v>
      </c>
      <c r="I2" s="497" t="s">
        <v>832</v>
      </c>
      <c r="J2" s="497" t="s">
        <v>829</v>
      </c>
      <c r="K2" s="497" t="s">
        <v>830</v>
      </c>
      <c r="L2" s="505" t="s">
        <v>837</v>
      </c>
      <c r="M2" s="506" t="s">
        <v>835</v>
      </c>
      <c r="N2" s="506" t="s">
        <v>838</v>
      </c>
      <c r="O2" s="505" t="s">
        <v>836</v>
      </c>
      <c r="Q2" s="483"/>
      <c r="R2" s="476" t="s">
        <v>1</v>
      </c>
      <c r="S2" s="476" t="s">
        <v>2</v>
      </c>
      <c r="T2" s="455"/>
      <c r="U2" s="455"/>
      <c r="V2" s="482"/>
      <c r="Y2" s="456" t="s">
        <v>816</v>
      </c>
      <c r="Z2" s="456" t="s">
        <v>821</v>
      </c>
      <c r="AA2" s="456" t="s">
        <v>822</v>
      </c>
      <c r="AB2" s="456" t="s">
        <v>823</v>
      </c>
      <c r="AC2" s="456" t="s">
        <v>819</v>
      </c>
      <c r="AD2" s="456" t="s">
        <v>820</v>
      </c>
      <c r="AE2" s="456" t="s">
        <v>824</v>
      </c>
      <c r="AF2" s="457" t="s">
        <v>825</v>
      </c>
      <c r="AG2" s="456" t="s">
        <v>826</v>
      </c>
      <c r="AH2" s="457" t="s">
        <v>827</v>
      </c>
    </row>
    <row r="3" spans="1:34">
      <c r="A3" s="489"/>
      <c r="B3" s="494" t="s">
        <v>92</v>
      </c>
      <c r="C3" s="531">
        <v>92.6</v>
      </c>
      <c r="D3" s="517">
        <v>16.414686825053995</v>
      </c>
      <c r="E3" s="518">
        <f t="shared" ref="E3:E10" si="0">D3/($C3/100)</f>
        <v>17.72644365556587</v>
      </c>
      <c r="F3" s="519">
        <v>63</v>
      </c>
      <c r="G3" s="520">
        <f>$C3/100*E3/100*F3</f>
        <v>10.341252699784016</v>
      </c>
      <c r="H3" s="498">
        <v>0.60958579999999996</v>
      </c>
      <c r="I3" s="498">
        <f t="shared" ref="I3:I10" si="1">H3/($C3/100)</f>
        <v>0.6583</v>
      </c>
      <c r="J3" s="498">
        <v>10.919540229885062</v>
      </c>
      <c r="K3" s="498">
        <f>$C3/100*I3/100*J3</f>
        <v>6.6563966666666682E-2</v>
      </c>
      <c r="L3" s="508">
        <v>0.17779199999999998</v>
      </c>
      <c r="M3" s="508">
        <f t="shared" ref="M3:M10" si="2">L3/($C3/100)</f>
        <v>0.19199999999999998</v>
      </c>
      <c r="N3" s="536">
        <v>100</v>
      </c>
      <c r="O3" s="508">
        <f>$C3/100*M3*(N3/100)</f>
        <v>0.17779199999999998</v>
      </c>
      <c r="Q3" s="481" t="s">
        <v>789</v>
      </c>
      <c r="R3" s="25">
        <v>0.5</v>
      </c>
      <c r="S3" s="25">
        <v>1</v>
      </c>
      <c r="T3" s="455"/>
      <c r="U3" s="455"/>
      <c r="V3" s="482"/>
      <c r="Y3" s="454" t="s">
        <v>92</v>
      </c>
      <c r="Z3" s="454">
        <v>15.2</v>
      </c>
      <c r="AA3" s="454">
        <v>0.16</v>
      </c>
      <c r="AB3" s="454">
        <v>0.28999999999999998</v>
      </c>
      <c r="AC3" s="454">
        <v>92.6</v>
      </c>
      <c r="AD3" s="454">
        <v>51.3</v>
      </c>
      <c r="AE3" s="454">
        <v>3.4</v>
      </c>
      <c r="AF3" s="454">
        <v>181</v>
      </c>
      <c r="AG3" s="454">
        <v>22.5</v>
      </c>
      <c r="AH3" s="480">
        <v>151796.5</v>
      </c>
    </row>
    <row r="4" spans="1:34">
      <c r="A4" s="489"/>
      <c r="B4" s="494" t="s">
        <v>798</v>
      </c>
      <c r="C4" s="531">
        <v>87.7</v>
      </c>
      <c r="D4" s="517">
        <v>6.3511972633979479</v>
      </c>
      <c r="E4" s="518">
        <f t="shared" si="0"/>
        <v>7.2419581110580937</v>
      </c>
      <c r="F4" s="519">
        <v>60</v>
      </c>
      <c r="G4" s="520">
        <f t="shared" ref="G4:G10" si="3">C4/100*E4/100*F4</f>
        <v>3.8107183580387689</v>
      </c>
      <c r="H4" s="498">
        <v>2.5283033000000001</v>
      </c>
      <c r="I4" s="498">
        <f t="shared" si="1"/>
        <v>2.8829000000000002</v>
      </c>
      <c r="J4" s="498">
        <v>12.923775153105863</v>
      </c>
      <c r="K4" s="498">
        <f t="shared" ref="K4:K10" si="4">$C4/100*I4/100*J4</f>
        <v>0.32675223368055561</v>
      </c>
      <c r="L4" s="508">
        <v>1.378644</v>
      </c>
      <c r="M4" s="508">
        <f t="shared" si="2"/>
        <v>1.5720000000000001</v>
      </c>
      <c r="N4" s="536">
        <v>100</v>
      </c>
      <c r="O4" s="508">
        <f t="shared" ref="O4:O18" si="5">$C4/100*M4*(N4/100)</f>
        <v>1.378644</v>
      </c>
      <c r="Q4" s="484" t="s">
        <v>802</v>
      </c>
      <c r="R4" s="25">
        <v>0.63</v>
      </c>
      <c r="S4" s="472">
        <v>0.10919540229885062</v>
      </c>
      <c r="T4" s="455"/>
      <c r="U4" s="455"/>
      <c r="V4" s="482"/>
      <c r="Y4" s="454" t="s">
        <v>798</v>
      </c>
      <c r="Z4" s="454">
        <v>5.57</v>
      </c>
      <c r="AA4" s="454">
        <v>1.31</v>
      </c>
      <c r="AB4" s="454">
        <v>1.27</v>
      </c>
      <c r="AC4" s="454">
        <v>87.7</v>
      </c>
      <c r="AD4" s="454">
        <v>48.7</v>
      </c>
      <c r="AE4" s="454">
        <v>8.6999999999999993</v>
      </c>
      <c r="AF4" s="454">
        <v>247.1</v>
      </c>
      <c r="AG4" s="454">
        <v>15.7</v>
      </c>
      <c r="AH4" s="480">
        <v>55437.2</v>
      </c>
    </row>
    <row r="5" spans="1:34" ht="15" customHeight="1">
      <c r="A5" s="489"/>
      <c r="B5" s="494" t="s">
        <v>91</v>
      </c>
      <c r="C5" s="531">
        <v>100</v>
      </c>
      <c r="D5" s="517">
        <v>16</v>
      </c>
      <c r="E5" s="518">
        <f t="shared" si="0"/>
        <v>16</v>
      </c>
      <c r="F5" s="519">
        <v>100</v>
      </c>
      <c r="G5" s="520">
        <f t="shared" si="3"/>
        <v>16</v>
      </c>
      <c r="H5" s="498">
        <v>0</v>
      </c>
      <c r="I5" s="498">
        <f t="shared" si="1"/>
        <v>0</v>
      </c>
      <c r="J5" s="498">
        <v>0</v>
      </c>
      <c r="K5" s="498">
        <f t="shared" si="4"/>
        <v>0</v>
      </c>
      <c r="L5" s="508">
        <v>0</v>
      </c>
      <c r="M5" s="508">
        <f t="shared" si="2"/>
        <v>0</v>
      </c>
      <c r="N5" s="536">
        <v>100</v>
      </c>
      <c r="O5" s="508">
        <f t="shared" si="5"/>
        <v>0</v>
      </c>
      <c r="Q5" s="484" t="s">
        <v>801</v>
      </c>
      <c r="R5" s="25">
        <v>0.6</v>
      </c>
      <c r="S5" s="472">
        <v>0.12923775153105863</v>
      </c>
      <c r="T5" s="455"/>
      <c r="U5" s="455"/>
      <c r="V5" s="482"/>
      <c r="Y5" s="454" t="s">
        <v>791</v>
      </c>
      <c r="Z5" s="454"/>
      <c r="AA5" s="454"/>
      <c r="AB5" s="454"/>
      <c r="AC5" s="454"/>
      <c r="AD5" s="454"/>
      <c r="AE5" s="454"/>
      <c r="AF5" s="454"/>
      <c r="AG5" s="478">
        <v>160000</v>
      </c>
      <c r="AH5" s="454"/>
    </row>
    <row r="6" spans="1:34">
      <c r="A6" s="489"/>
      <c r="B6" s="494" t="s">
        <v>792</v>
      </c>
      <c r="C6" s="531">
        <v>55.8</v>
      </c>
      <c r="D6" s="517">
        <v>3.010752688172043</v>
      </c>
      <c r="E6" s="518">
        <f t="shared" si="0"/>
        <v>5.395614136509038</v>
      </c>
      <c r="F6" s="519">
        <v>40</v>
      </c>
      <c r="G6" s="520">
        <f t="shared" si="3"/>
        <v>1.204301075268817</v>
      </c>
      <c r="H6" s="498">
        <v>3.5213147999999994</v>
      </c>
      <c r="I6" s="498">
        <f t="shared" si="1"/>
        <v>6.3106</v>
      </c>
      <c r="J6" s="498">
        <v>46.662669864108722</v>
      </c>
      <c r="K6" s="498">
        <f t="shared" si="4"/>
        <v>1.6431395</v>
      </c>
      <c r="L6" s="508">
        <v>2.2833359999999994</v>
      </c>
      <c r="M6" s="508">
        <f t="shared" si="2"/>
        <v>4.0919999999999996</v>
      </c>
      <c r="N6" s="536">
        <v>100</v>
      </c>
      <c r="O6" s="508">
        <f t="shared" si="5"/>
        <v>2.2833359999999994</v>
      </c>
      <c r="Q6" s="484" t="s">
        <v>805</v>
      </c>
      <c r="R6" s="25">
        <v>1</v>
      </c>
      <c r="S6" s="472">
        <v>0</v>
      </c>
      <c r="T6" s="455"/>
      <c r="U6" s="455"/>
      <c r="V6" s="482"/>
      <c r="Y6" s="454" t="s">
        <v>792</v>
      </c>
      <c r="Z6" s="454">
        <v>1.68</v>
      </c>
      <c r="AA6" s="454">
        <v>3.41</v>
      </c>
      <c r="AB6" s="454">
        <v>2.78</v>
      </c>
      <c r="AC6" s="454">
        <v>55.8</v>
      </c>
      <c r="AD6" s="454">
        <v>24.2</v>
      </c>
      <c r="AE6" s="454">
        <v>14.4</v>
      </c>
      <c r="AF6" s="454">
        <v>4220</v>
      </c>
      <c r="AG6" s="454">
        <v>8.5500000000000007</v>
      </c>
      <c r="AH6" s="480">
        <v>12571.45</v>
      </c>
    </row>
    <row r="7" spans="1:34">
      <c r="A7" s="489"/>
      <c r="B7" s="494" t="s">
        <v>799</v>
      </c>
      <c r="C7" s="531">
        <v>90.2</v>
      </c>
      <c r="D7" s="517">
        <v>5.9977827050997785</v>
      </c>
      <c r="E7" s="518">
        <f t="shared" si="0"/>
        <v>6.6494265023279135</v>
      </c>
      <c r="F7" s="519">
        <v>100</v>
      </c>
      <c r="G7" s="520">
        <f t="shared" si="3"/>
        <v>5.9977827050997785</v>
      </c>
      <c r="H7" s="498">
        <v>4.6274403999999993</v>
      </c>
      <c r="I7" s="498">
        <f t="shared" si="1"/>
        <v>5.1301999999999994</v>
      </c>
      <c r="J7" s="498">
        <v>28.645833333333336</v>
      </c>
      <c r="K7" s="498">
        <f t="shared" si="4"/>
        <v>1.3255688645833332</v>
      </c>
      <c r="L7" s="508">
        <v>2.792592</v>
      </c>
      <c r="M7" s="508">
        <f t="shared" si="2"/>
        <v>3.0960000000000001</v>
      </c>
      <c r="N7" s="536">
        <v>100</v>
      </c>
      <c r="O7" s="508">
        <f t="shared" si="5"/>
        <v>2.792592</v>
      </c>
      <c r="Q7" s="484" t="s">
        <v>803</v>
      </c>
      <c r="R7" s="25">
        <v>0.4</v>
      </c>
      <c r="S7" s="472">
        <v>0.46662669864108719</v>
      </c>
      <c r="T7" s="455"/>
      <c r="U7" s="455"/>
      <c r="V7" s="482"/>
      <c r="Y7" s="454" t="s">
        <v>799</v>
      </c>
      <c r="Z7" s="454">
        <v>5.41</v>
      </c>
      <c r="AA7" s="454">
        <v>2.58</v>
      </c>
      <c r="AB7" s="454">
        <v>2.2599999999999998</v>
      </c>
      <c r="AC7" s="454">
        <v>90.2</v>
      </c>
      <c r="AD7" s="454">
        <v>31.4</v>
      </c>
      <c r="AE7" s="454">
        <v>5.8</v>
      </c>
      <c r="AF7" s="454">
        <v>4253</v>
      </c>
      <c r="AG7" s="454">
        <v>18.2</v>
      </c>
      <c r="AH7" s="480">
        <v>49828.800000000003</v>
      </c>
    </row>
    <row r="8" spans="1:34">
      <c r="A8" s="489"/>
      <c r="B8" s="494" t="s">
        <v>794</v>
      </c>
      <c r="C8" s="531">
        <v>92</v>
      </c>
      <c r="D8" s="517">
        <v>5.5108695652173916</v>
      </c>
      <c r="E8" s="518">
        <f t="shared" si="0"/>
        <v>5.99007561436673</v>
      </c>
      <c r="F8" s="519">
        <v>100</v>
      </c>
      <c r="G8" s="520">
        <f t="shared" si="3"/>
        <v>5.5108695652173916</v>
      </c>
      <c r="H8" s="498">
        <v>5.1374640000000005</v>
      </c>
      <c r="I8" s="498">
        <f t="shared" si="1"/>
        <v>5.5842000000000001</v>
      </c>
      <c r="J8" s="498">
        <v>7.4751580849141837</v>
      </c>
      <c r="K8" s="498">
        <f t="shared" si="4"/>
        <v>0.38403355555555568</v>
      </c>
      <c r="L8" s="508">
        <v>5.5641600000000002</v>
      </c>
      <c r="M8" s="508">
        <f t="shared" si="2"/>
        <v>6.048</v>
      </c>
      <c r="N8" s="536">
        <v>100</v>
      </c>
      <c r="O8" s="508">
        <f t="shared" si="5"/>
        <v>5.5641600000000002</v>
      </c>
      <c r="Q8" s="484" t="s">
        <v>793</v>
      </c>
      <c r="R8" s="25">
        <v>1</v>
      </c>
      <c r="S8" s="472">
        <v>0.28645833333333337</v>
      </c>
      <c r="T8" s="455"/>
      <c r="U8" s="455"/>
      <c r="V8" s="482"/>
      <c r="Y8" s="454" t="s">
        <v>818</v>
      </c>
      <c r="Z8" s="454">
        <v>2.0099999999999998</v>
      </c>
      <c r="AA8" s="454">
        <v>1.47</v>
      </c>
      <c r="AB8" s="454">
        <v>0.78</v>
      </c>
      <c r="AC8" s="454">
        <v>32.700000000000003</v>
      </c>
      <c r="AD8" s="454">
        <v>37</v>
      </c>
      <c r="AE8" s="454">
        <v>18.399999999999999</v>
      </c>
      <c r="AF8" s="454">
        <v>633</v>
      </c>
      <c r="AG8" s="454">
        <v>696</v>
      </c>
      <c r="AH8" s="480">
        <v>18770.999999999996</v>
      </c>
    </row>
    <row r="9" spans="1:34">
      <c r="A9" s="489"/>
      <c r="B9" s="495" t="s">
        <v>795</v>
      </c>
      <c r="C9" s="532">
        <v>88.7</v>
      </c>
      <c r="D9" s="517">
        <v>9.2333709131905284</v>
      </c>
      <c r="E9" s="518">
        <f t="shared" si="0"/>
        <v>10.409662810812321</v>
      </c>
      <c r="F9" s="519">
        <v>68</v>
      </c>
      <c r="G9" s="520">
        <f t="shared" si="3"/>
        <v>6.2786922209695586</v>
      </c>
      <c r="H9" s="498">
        <v>1.4899826</v>
      </c>
      <c r="I9" s="498">
        <f t="shared" si="1"/>
        <v>1.6798</v>
      </c>
      <c r="J9" s="498">
        <v>7.2478728728728781</v>
      </c>
      <c r="K9" s="498">
        <f t="shared" si="4"/>
        <v>0.107992044675926</v>
      </c>
      <c r="L9" s="508">
        <v>2.5013399999999999</v>
      </c>
      <c r="M9" s="508">
        <f t="shared" si="2"/>
        <v>2.82</v>
      </c>
      <c r="N9" s="536">
        <v>100</v>
      </c>
      <c r="O9" s="508">
        <f t="shared" si="5"/>
        <v>2.5013399999999999</v>
      </c>
      <c r="Q9" s="484" t="s">
        <v>804</v>
      </c>
      <c r="R9" s="25">
        <v>1</v>
      </c>
      <c r="S9" s="472">
        <v>7.4751580849141838E-2</v>
      </c>
      <c r="T9" s="455"/>
      <c r="U9" s="455"/>
      <c r="V9" s="482"/>
      <c r="Y9" s="456" t="s">
        <v>796</v>
      </c>
      <c r="Z9" s="456">
        <v>5.68</v>
      </c>
      <c r="AA9" s="456">
        <v>1.06</v>
      </c>
      <c r="AB9" s="456">
        <v>0.99</v>
      </c>
      <c r="AC9" s="456">
        <v>93.2</v>
      </c>
      <c r="AD9" s="456">
        <v>50.3</v>
      </c>
      <c r="AE9" s="456">
        <v>8.9</v>
      </c>
      <c r="AF9" s="457">
        <v>137.19999999999999</v>
      </c>
      <c r="AG9" s="456">
        <v>22.6</v>
      </c>
      <c r="AH9" s="479">
        <v>56640.2</v>
      </c>
    </row>
    <row r="10" spans="1:34">
      <c r="A10" s="489"/>
      <c r="B10" s="494" t="s">
        <v>833</v>
      </c>
      <c r="C10" s="531">
        <v>87.3</v>
      </c>
      <c r="D10" s="517">
        <v>3.8487972508591062</v>
      </c>
      <c r="E10" s="518">
        <f t="shared" si="0"/>
        <v>4.4087024637561356</v>
      </c>
      <c r="F10" s="519">
        <v>60</v>
      </c>
      <c r="G10" s="520">
        <f t="shared" si="3"/>
        <v>2.3092783505154637</v>
      </c>
      <c r="H10" s="498">
        <v>2.1006126000000003</v>
      </c>
      <c r="I10" s="498">
        <f t="shared" si="1"/>
        <v>2.4062000000000001</v>
      </c>
      <c r="J10" s="498">
        <v>11.189727463312366</v>
      </c>
      <c r="K10" s="498">
        <f t="shared" si="4"/>
        <v>0.23505282499999997</v>
      </c>
      <c r="L10" s="508">
        <v>1.560924</v>
      </c>
      <c r="M10" s="508">
        <f t="shared" si="2"/>
        <v>1.788</v>
      </c>
      <c r="N10" s="536">
        <v>100</v>
      </c>
      <c r="O10" s="508">
        <f t="shared" si="5"/>
        <v>1.560924</v>
      </c>
      <c r="Q10" s="484" t="s">
        <v>800</v>
      </c>
      <c r="R10" s="25">
        <v>0.68</v>
      </c>
      <c r="S10" s="472">
        <v>7.2478728728728778E-2</v>
      </c>
      <c r="T10" s="455"/>
      <c r="U10" s="455"/>
      <c r="V10" s="482"/>
      <c r="Y10" s="454" t="s">
        <v>817</v>
      </c>
      <c r="Z10" s="454">
        <v>0.1</v>
      </c>
      <c r="AA10" s="454">
        <v>0.11</v>
      </c>
      <c r="AB10" s="454">
        <v>0.01</v>
      </c>
      <c r="AC10" s="454">
        <v>59.2</v>
      </c>
      <c r="AD10" s="454">
        <v>42.6</v>
      </c>
      <c r="AE10" s="454">
        <v>401.9</v>
      </c>
      <c r="AF10" s="454">
        <v>6.01</v>
      </c>
      <c r="AG10" s="454">
        <v>1.79</v>
      </c>
      <c r="AH10" s="480">
        <v>992.2</v>
      </c>
    </row>
    <row r="11" spans="1:34">
      <c r="A11" s="489"/>
      <c r="B11" s="490"/>
      <c r="C11" s="533"/>
      <c r="D11" s="521"/>
      <c r="E11" s="522"/>
      <c r="F11" s="523"/>
      <c r="G11" s="524"/>
      <c r="H11" s="499"/>
      <c r="I11" s="500"/>
      <c r="J11" s="499"/>
      <c r="K11" s="501"/>
      <c r="L11" s="509"/>
      <c r="M11" s="511"/>
      <c r="N11" s="512"/>
      <c r="O11" s="509"/>
      <c r="Q11" s="484" t="s">
        <v>806</v>
      </c>
      <c r="R11" s="25">
        <v>0.6</v>
      </c>
      <c r="S11" s="472">
        <v>0.11189727463312366</v>
      </c>
      <c r="T11" s="455"/>
      <c r="U11" s="455"/>
      <c r="V11" s="482"/>
      <c r="Y11" s="454" t="s">
        <v>794</v>
      </c>
      <c r="Z11" s="454">
        <v>5.07</v>
      </c>
      <c r="AA11" s="454">
        <v>5.04</v>
      </c>
      <c r="AB11" s="454">
        <v>2.46</v>
      </c>
      <c r="AC11" s="454">
        <v>92</v>
      </c>
      <c r="AD11" s="454">
        <v>23.1</v>
      </c>
      <c r="AE11" s="454">
        <v>4.5999999999999996</v>
      </c>
      <c r="AF11" s="454">
        <v>2485</v>
      </c>
      <c r="AG11" s="454">
        <v>22771</v>
      </c>
      <c r="AH11" s="480">
        <v>25444</v>
      </c>
    </row>
    <row r="12" spans="1:34">
      <c r="A12" s="489"/>
      <c r="B12" s="491" t="s">
        <v>834</v>
      </c>
      <c r="C12" s="534"/>
      <c r="D12" s="525"/>
      <c r="E12" s="526"/>
      <c r="F12" s="527"/>
      <c r="G12" s="528"/>
      <c r="H12" s="502"/>
      <c r="I12" s="503"/>
      <c r="J12" s="502"/>
      <c r="K12" s="504"/>
      <c r="L12" s="510"/>
      <c r="M12" s="513"/>
      <c r="N12" s="514"/>
      <c r="O12" s="510"/>
      <c r="Q12" s="484" t="s">
        <v>29</v>
      </c>
      <c r="R12" s="25">
        <v>0.5</v>
      </c>
      <c r="S12" s="472">
        <v>0.75</v>
      </c>
      <c r="T12" s="455"/>
      <c r="U12" s="455"/>
      <c r="V12" s="482"/>
      <c r="Y12" s="456" t="s">
        <v>795</v>
      </c>
      <c r="Z12" s="456">
        <v>8.19</v>
      </c>
      <c r="AA12" s="456">
        <v>2.35</v>
      </c>
      <c r="AB12" s="456">
        <v>0.74</v>
      </c>
      <c r="AC12" s="456">
        <v>88.7</v>
      </c>
      <c r="AD12" s="456">
        <v>44.7</v>
      </c>
      <c r="AE12" s="456">
        <v>5.5</v>
      </c>
      <c r="AF12" s="457">
        <v>115.5</v>
      </c>
      <c r="AG12" s="456">
        <v>1.57</v>
      </c>
      <c r="AH12" s="479">
        <v>81782.929999999993</v>
      </c>
    </row>
    <row r="13" spans="1:34" ht="15.75" thickBot="1">
      <c r="A13" s="489"/>
      <c r="B13" s="132"/>
      <c r="C13" s="535"/>
      <c r="D13" s="529"/>
      <c r="E13" s="518">
        <f>IF(C13=0,0,D13/($C13/100))</f>
        <v>0</v>
      </c>
      <c r="F13" s="126"/>
      <c r="G13" s="520">
        <f t="shared" ref="G13:G18" si="6">C13/100*E13/100*F13</f>
        <v>0</v>
      </c>
      <c r="H13" s="127"/>
      <c r="I13" s="498">
        <f>IF(G13=0,0,H13/($C13/100))</f>
        <v>0</v>
      </c>
      <c r="J13" s="127"/>
      <c r="K13" s="498">
        <f t="shared" ref="K13:K18" si="7">$C13/100*I13/100*J13</f>
        <v>0</v>
      </c>
      <c r="L13" s="128"/>
      <c r="M13" s="507">
        <f>IF(K13=0,0,L13/($C13/100))</f>
        <v>0</v>
      </c>
      <c r="N13" s="537"/>
      <c r="O13" s="128">
        <f t="shared" si="5"/>
        <v>0</v>
      </c>
      <c r="Q13" s="485" t="s">
        <v>497</v>
      </c>
      <c r="R13" s="486">
        <v>1</v>
      </c>
      <c r="S13" s="486">
        <v>1</v>
      </c>
      <c r="T13" s="487"/>
      <c r="U13" s="487"/>
      <c r="V13" s="488"/>
      <c r="Y13" s="454" t="s">
        <v>797</v>
      </c>
      <c r="Z13" s="454">
        <v>3.36</v>
      </c>
      <c r="AA13" s="454">
        <v>1.49</v>
      </c>
      <c r="AB13" s="454">
        <v>1.06</v>
      </c>
      <c r="AC13" s="454">
        <v>87.3</v>
      </c>
      <c r="AD13" s="454">
        <v>51.1</v>
      </c>
      <c r="AE13" s="454">
        <v>15.2</v>
      </c>
      <c r="AF13" s="454">
        <v>432</v>
      </c>
      <c r="AG13" s="454">
        <v>18</v>
      </c>
      <c r="AH13" s="480">
        <v>33150</v>
      </c>
    </row>
    <row r="14" spans="1:34">
      <c r="A14" s="489"/>
      <c r="B14" s="132"/>
      <c r="C14" s="535"/>
      <c r="D14" s="126"/>
      <c r="E14" s="518">
        <f t="shared" ref="E14:E20" si="8">IF(C14=0,0,D14/($C14/100))</f>
        <v>0</v>
      </c>
      <c r="F14" s="126"/>
      <c r="G14" s="520">
        <f t="shared" si="6"/>
        <v>0</v>
      </c>
      <c r="H14" s="127"/>
      <c r="I14" s="498">
        <f t="shared" ref="I14:I20" si="9">IF(G14=0,0,H14/($C14/100))</f>
        <v>0</v>
      </c>
      <c r="J14" s="127"/>
      <c r="K14" s="498">
        <f t="shared" si="7"/>
        <v>0</v>
      </c>
      <c r="L14" s="128"/>
      <c r="M14" s="507">
        <f t="shared" ref="M14:M20" si="10">IF(K14=0,0,L14/($C14/100))</f>
        <v>0</v>
      </c>
      <c r="N14" s="537"/>
      <c r="O14" s="128">
        <f t="shared" si="5"/>
        <v>0</v>
      </c>
    </row>
    <row r="15" spans="1:34">
      <c r="A15" s="489"/>
      <c r="B15" s="132"/>
      <c r="C15" s="535"/>
      <c r="D15" s="126"/>
      <c r="E15" s="518">
        <f t="shared" si="8"/>
        <v>0</v>
      </c>
      <c r="F15" s="126"/>
      <c r="G15" s="520">
        <f t="shared" si="6"/>
        <v>0</v>
      </c>
      <c r="H15" s="127"/>
      <c r="I15" s="498">
        <f t="shared" si="9"/>
        <v>0</v>
      </c>
      <c r="J15" s="127"/>
      <c r="K15" s="498">
        <f t="shared" si="7"/>
        <v>0</v>
      </c>
      <c r="L15" s="128"/>
      <c r="M15" s="507">
        <f t="shared" si="10"/>
        <v>0</v>
      </c>
      <c r="N15" s="537"/>
      <c r="O15" s="128">
        <f t="shared" si="5"/>
        <v>0</v>
      </c>
    </row>
    <row r="16" spans="1:34">
      <c r="B16" s="132"/>
      <c r="C16" s="535"/>
      <c r="D16" s="126"/>
      <c r="E16" s="518">
        <f t="shared" si="8"/>
        <v>0</v>
      </c>
      <c r="F16" s="126"/>
      <c r="G16" s="520">
        <f t="shared" si="6"/>
        <v>0</v>
      </c>
      <c r="H16" s="127"/>
      <c r="I16" s="498">
        <f t="shared" si="9"/>
        <v>0</v>
      </c>
      <c r="J16" s="127"/>
      <c r="K16" s="498">
        <f t="shared" si="7"/>
        <v>0</v>
      </c>
      <c r="L16" s="128"/>
      <c r="M16" s="507">
        <f t="shared" si="10"/>
        <v>0</v>
      </c>
      <c r="N16" s="537"/>
      <c r="O16" s="128">
        <f t="shared" si="5"/>
        <v>0</v>
      </c>
    </row>
    <row r="17" spans="2:15">
      <c r="B17" s="132"/>
      <c r="C17" s="535"/>
      <c r="D17" s="126"/>
      <c r="E17" s="518">
        <f t="shared" si="8"/>
        <v>0</v>
      </c>
      <c r="F17" s="126"/>
      <c r="G17" s="520">
        <f t="shared" si="6"/>
        <v>0</v>
      </c>
      <c r="H17" s="127"/>
      <c r="I17" s="498">
        <f t="shared" si="9"/>
        <v>0</v>
      </c>
      <c r="J17" s="127"/>
      <c r="K17" s="498">
        <f t="shared" si="7"/>
        <v>0</v>
      </c>
      <c r="L17" s="128"/>
      <c r="M17" s="507">
        <f t="shared" si="10"/>
        <v>0</v>
      </c>
      <c r="N17" s="537"/>
      <c r="O17" s="128">
        <f t="shared" si="5"/>
        <v>0</v>
      </c>
    </row>
    <row r="18" spans="2:15">
      <c r="B18" s="132"/>
      <c r="C18" s="535"/>
      <c r="D18" s="126"/>
      <c r="E18" s="518">
        <f t="shared" si="8"/>
        <v>0</v>
      </c>
      <c r="F18" s="126"/>
      <c r="G18" s="520">
        <f t="shared" si="6"/>
        <v>0</v>
      </c>
      <c r="H18" s="127"/>
      <c r="I18" s="498">
        <f t="shared" si="9"/>
        <v>0</v>
      </c>
      <c r="J18" s="127"/>
      <c r="K18" s="498">
        <f t="shared" si="7"/>
        <v>0</v>
      </c>
      <c r="L18" s="128"/>
      <c r="M18" s="507">
        <f t="shared" si="10"/>
        <v>0</v>
      </c>
      <c r="N18" s="537"/>
      <c r="O18" s="128">
        <f t="shared" si="5"/>
        <v>0</v>
      </c>
    </row>
    <row r="19" spans="2:15">
      <c r="B19" s="132"/>
      <c r="C19" s="535"/>
      <c r="D19" s="126"/>
      <c r="E19" s="518">
        <f t="shared" si="8"/>
        <v>0</v>
      </c>
      <c r="F19" s="126"/>
      <c r="G19" s="520">
        <f>C19/100*E19/100*F19</f>
        <v>0</v>
      </c>
      <c r="H19" s="127"/>
      <c r="I19" s="498">
        <f t="shared" si="9"/>
        <v>0</v>
      </c>
      <c r="J19" s="127"/>
      <c r="K19" s="498">
        <f>$C19/100*I19/100*J19</f>
        <v>0</v>
      </c>
      <c r="L19" s="128"/>
      <c r="M19" s="507">
        <f t="shared" si="10"/>
        <v>0</v>
      </c>
      <c r="N19" s="537"/>
      <c r="O19" s="128">
        <f>$C19/100*M19*(N19/100)</f>
        <v>0</v>
      </c>
    </row>
    <row r="20" spans="2:15">
      <c r="B20" s="132"/>
      <c r="C20" s="535"/>
      <c r="D20" s="126"/>
      <c r="E20" s="518">
        <f t="shared" si="8"/>
        <v>0</v>
      </c>
      <c r="F20" s="126"/>
      <c r="G20" s="520">
        <f>C20/100*E20/100*F20</f>
        <v>0</v>
      </c>
      <c r="H20" s="127"/>
      <c r="I20" s="498">
        <f t="shared" si="9"/>
        <v>0</v>
      </c>
      <c r="J20" s="127"/>
      <c r="K20" s="498">
        <f>$C20/100*I20/100*J20</f>
        <v>0</v>
      </c>
      <c r="L20" s="128"/>
      <c r="M20" s="507">
        <f t="shared" si="10"/>
        <v>0</v>
      </c>
      <c r="N20" s="537"/>
      <c r="O20" s="128">
        <f>$C20/100*M20*(N20/100)</f>
        <v>0</v>
      </c>
    </row>
  </sheetData>
  <sheetProtection sheet="1" objects="1" scenarios="1"/>
  <phoneticPr fontId="13" type="noConversion"/>
  <pageMargins left="0.7" right="0.7" top="0.75" bottom="0.75" header="0.3" footer="0.3"/>
  <pageSetup orientation="landscape" r:id="rId1"/>
  <legacyDrawing r:id="rId2"/>
</worksheet>
</file>

<file path=xl/worksheets/sheet11.xml><?xml version="1.0" encoding="utf-8"?>
<worksheet xmlns="http://schemas.openxmlformats.org/spreadsheetml/2006/main" xmlns:r="http://schemas.openxmlformats.org/officeDocument/2006/relationships">
  <sheetPr codeName="Sheet5">
    <tabColor rgb="FFF9DC2B"/>
  </sheetPr>
  <dimension ref="A1:K64"/>
  <sheetViews>
    <sheetView showGridLines="0" showRowColHeaders="0" workbookViewId="0">
      <selection activeCell="B65" sqref="A65:IV65536"/>
    </sheetView>
  </sheetViews>
  <sheetFormatPr defaultColWidth="0" defaultRowHeight="15" zeroHeight="1"/>
  <cols>
    <col min="1" max="1" width="24.28515625" style="152" customWidth="1"/>
    <col min="2" max="8" width="7.7109375" style="152" customWidth="1"/>
    <col min="9" max="9" width="11.42578125" style="152" customWidth="1"/>
    <col min="10" max="11" width="8.85546875" style="152" hidden="1" customWidth="1"/>
  </cols>
  <sheetData>
    <row r="1" spans="1:9" ht="18.75">
      <c r="A1" s="705" t="s">
        <v>147</v>
      </c>
      <c r="B1" s="697"/>
      <c r="C1" s="697"/>
      <c r="D1" s="697"/>
      <c r="E1" s="697"/>
      <c r="F1" s="697"/>
      <c r="G1" s="697"/>
      <c r="H1" s="697"/>
    </row>
    <row r="2" spans="1:9">
      <c r="B2" s="153"/>
      <c r="C2" s="154"/>
      <c r="D2" s="154"/>
      <c r="E2" s="154"/>
      <c r="F2" s="154"/>
      <c r="G2" s="154"/>
      <c r="H2" s="154"/>
    </row>
    <row r="3" spans="1:9" ht="15.75" thickBot="1">
      <c r="A3" s="155" t="s">
        <v>0</v>
      </c>
      <c r="B3" s="156" t="s">
        <v>1</v>
      </c>
      <c r="C3" s="153" t="s">
        <v>120</v>
      </c>
      <c r="D3" s="153" t="s">
        <v>121</v>
      </c>
      <c r="E3" s="156" t="s">
        <v>4</v>
      </c>
      <c r="F3" s="156" t="s">
        <v>5</v>
      </c>
      <c r="G3" s="156" t="s">
        <v>72</v>
      </c>
      <c r="H3" s="156" t="s">
        <v>72</v>
      </c>
      <c r="I3" s="157" t="s">
        <v>166</v>
      </c>
    </row>
    <row r="4" spans="1:9" ht="20.100000000000001" customHeight="1">
      <c r="A4" s="413" t="s">
        <v>109</v>
      </c>
      <c r="B4" s="158" t="s">
        <v>108</v>
      </c>
      <c r="C4" s="159" t="s">
        <v>103</v>
      </c>
      <c r="D4" s="159" t="s">
        <v>103</v>
      </c>
      <c r="E4" s="159"/>
      <c r="F4" s="159"/>
      <c r="G4" s="159"/>
      <c r="H4" s="160"/>
      <c r="I4" s="161"/>
    </row>
    <row r="5" spans="1:9" ht="20.100000000000001" customHeight="1">
      <c r="A5" s="414" t="s">
        <v>92</v>
      </c>
      <c r="B5" s="162">
        <v>12</v>
      </c>
      <c r="C5" s="163">
        <v>0</v>
      </c>
      <c r="D5" s="163">
        <v>0</v>
      </c>
      <c r="E5" s="163"/>
      <c r="F5" s="163"/>
      <c r="G5" s="163"/>
      <c r="H5" s="164"/>
      <c r="I5" s="165"/>
    </row>
    <row r="6" spans="1:9" ht="20.100000000000001" customHeight="1">
      <c r="A6" s="414" t="s">
        <v>100</v>
      </c>
      <c r="B6" s="162" t="s">
        <v>106</v>
      </c>
      <c r="C6" s="163" t="s">
        <v>113</v>
      </c>
      <c r="D6" s="163" t="s">
        <v>114</v>
      </c>
      <c r="E6" s="163"/>
      <c r="F6" s="163"/>
      <c r="G6" s="163"/>
      <c r="H6" s="164"/>
      <c r="I6" s="165"/>
    </row>
    <row r="7" spans="1:9" ht="20.100000000000001" customHeight="1">
      <c r="A7" s="414" t="s">
        <v>155</v>
      </c>
      <c r="B7" s="162" t="s">
        <v>108</v>
      </c>
      <c r="C7" s="163" t="s">
        <v>142</v>
      </c>
      <c r="D7" s="163" t="s">
        <v>142</v>
      </c>
      <c r="E7" s="163"/>
      <c r="F7" s="163"/>
      <c r="G7" s="163"/>
      <c r="H7" s="164"/>
      <c r="I7" s="165"/>
    </row>
    <row r="8" spans="1:9" ht="20.100000000000001" customHeight="1">
      <c r="A8" s="414" t="s">
        <v>91</v>
      </c>
      <c r="B8" s="162">
        <v>16</v>
      </c>
      <c r="C8" s="163">
        <v>0</v>
      </c>
      <c r="D8" s="163">
        <v>0</v>
      </c>
      <c r="E8" s="163"/>
      <c r="F8" s="163"/>
      <c r="G8" s="163"/>
      <c r="H8" s="164"/>
      <c r="I8" s="165"/>
    </row>
    <row r="9" spans="1:9" ht="20.100000000000001" customHeight="1">
      <c r="A9" s="414" t="s">
        <v>146</v>
      </c>
      <c r="B9" s="162">
        <v>1</v>
      </c>
      <c r="C9" s="163">
        <v>1</v>
      </c>
      <c r="D9" s="163">
        <v>1</v>
      </c>
      <c r="E9" s="163"/>
      <c r="F9" s="163"/>
      <c r="G9" s="163"/>
      <c r="H9" s="164"/>
      <c r="I9" s="165"/>
    </row>
    <row r="10" spans="1:9" ht="20.100000000000001" customHeight="1">
      <c r="A10" s="414" t="s">
        <v>93</v>
      </c>
      <c r="B10" s="162">
        <v>12</v>
      </c>
      <c r="C10" s="163">
        <v>0</v>
      </c>
      <c r="D10" s="163">
        <v>0</v>
      </c>
      <c r="E10" s="163"/>
      <c r="F10" s="163"/>
      <c r="G10" s="163"/>
      <c r="H10" s="164"/>
      <c r="I10" s="165"/>
    </row>
    <row r="11" spans="1:9" ht="20.100000000000001" customHeight="1">
      <c r="A11" s="414" t="s">
        <v>94</v>
      </c>
      <c r="B11" s="162" t="s">
        <v>96</v>
      </c>
      <c r="C11" s="163">
        <v>6</v>
      </c>
      <c r="D11" s="163">
        <v>2</v>
      </c>
      <c r="E11" s="163"/>
      <c r="F11" s="163"/>
      <c r="G11" s="163"/>
      <c r="H11" s="164"/>
      <c r="I11" s="165"/>
    </row>
    <row r="12" spans="1:9" ht="20.100000000000001" customHeight="1">
      <c r="A12" s="414" t="s">
        <v>126</v>
      </c>
      <c r="B12" s="162" t="s">
        <v>114</v>
      </c>
      <c r="C12" s="163" t="s">
        <v>114</v>
      </c>
      <c r="D12" s="163" t="s">
        <v>127</v>
      </c>
      <c r="E12" s="163"/>
      <c r="F12" s="163"/>
      <c r="G12" s="163"/>
      <c r="H12" s="164"/>
      <c r="I12" s="165"/>
    </row>
    <row r="13" spans="1:9" ht="20.100000000000001" customHeight="1">
      <c r="A13" s="414" t="s">
        <v>128</v>
      </c>
      <c r="B13" s="162"/>
      <c r="C13" s="163"/>
      <c r="D13" s="163"/>
      <c r="E13" s="163" t="s">
        <v>129</v>
      </c>
      <c r="F13" s="163"/>
      <c r="G13" s="163"/>
      <c r="H13" s="164"/>
      <c r="I13" s="165"/>
    </row>
    <row r="14" spans="1:9" ht="20.100000000000001" customHeight="1">
      <c r="A14" s="414" t="s">
        <v>115</v>
      </c>
      <c r="B14" s="162" t="s">
        <v>116</v>
      </c>
      <c r="C14" s="163" t="s">
        <v>114</v>
      </c>
      <c r="D14" s="163" t="s">
        <v>108</v>
      </c>
      <c r="E14" s="163"/>
      <c r="F14" s="163"/>
      <c r="G14" s="163"/>
      <c r="H14" s="164"/>
      <c r="I14" s="165"/>
    </row>
    <row r="15" spans="1:9" ht="20.100000000000001" customHeight="1">
      <c r="A15" s="414" t="s">
        <v>130</v>
      </c>
      <c r="B15" s="162" t="s">
        <v>131</v>
      </c>
      <c r="C15" s="163" t="s">
        <v>132</v>
      </c>
      <c r="D15" s="163" t="s">
        <v>133</v>
      </c>
      <c r="E15" s="163"/>
      <c r="F15" s="163"/>
      <c r="G15" s="163"/>
      <c r="H15" s="164"/>
      <c r="I15" s="165"/>
    </row>
    <row r="16" spans="1:9" ht="20.100000000000001" customHeight="1">
      <c r="A16" s="414" t="s">
        <v>134</v>
      </c>
      <c r="B16" s="162"/>
      <c r="C16" s="163"/>
      <c r="D16" s="163"/>
      <c r="E16" s="163" t="s">
        <v>138</v>
      </c>
      <c r="F16" s="163"/>
      <c r="G16" s="163"/>
      <c r="H16" s="164"/>
      <c r="I16" s="165"/>
    </row>
    <row r="17" spans="1:9" ht="20.100000000000001" customHeight="1">
      <c r="A17" s="414" t="s">
        <v>135</v>
      </c>
      <c r="B17" s="166"/>
      <c r="C17" s="167"/>
      <c r="D17" s="167"/>
      <c r="E17" s="167" t="s">
        <v>137</v>
      </c>
      <c r="F17" s="167" t="s">
        <v>136</v>
      </c>
      <c r="G17" s="167"/>
      <c r="H17" s="168"/>
      <c r="I17" s="165"/>
    </row>
    <row r="18" spans="1:9" ht="20.100000000000001" customHeight="1">
      <c r="A18" s="414" t="s">
        <v>145</v>
      </c>
      <c r="B18" s="703" t="s">
        <v>160</v>
      </c>
      <c r="C18" s="704"/>
      <c r="D18" s="704"/>
      <c r="E18" s="704"/>
      <c r="F18" s="704"/>
      <c r="G18" s="704"/>
      <c r="H18" s="704"/>
      <c r="I18" s="150"/>
    </row>
    <row r="19" spans="1:9" ht="20.100000000000001" customHeight="1">
      <c r="A19" s="414" t="s">
        <v>104</v>
      </c>
      <c r="B19" s="169" t="s">
        <v>101</v>
      </c>
      <c r="C19" s="170" t="s">
        <v>102</v>
      </c>
      <c r="D19" s="170" t="s">
        <v>103</v>
      </c>
      <c r="E19" s="170"/>
      <c r="F19" s="170"/>
      <c r="G19" s="170"/>
      <c r="H19" s="171"/>
      <c r="I19" s="165"/>
    </row>
    <row r="20" spans="1:9" ht="20.100000000000001" customHeight="1">
      <c r="A20" s="414" t="s">
        <v>110</v>
      </c>
      <c r="B20" s="162" t="s">
        <v>111</v>
      </c>
      <c r="C20" s="163" t="s">
        <v>112</v>
      </c>
      <c r="D20" s="163" t="s">
        <v>112</v>
      </c>
      <c r="E20" s="163"/>
      <c r="F20" s="163"/>
      <c r="G20" s="163"/>
      <c r="H20" s="164"/>
      <c r="I20" s="165"/>
    </row>
    <row r="21" spans="1:9" ht="20.100000000000001" customHeight="1">
      <c r="A21" s="414" t="s">
        <v>139</v>
      </c>
      <c r="B21" s="162"/>
      <c r="C21" s="163"/>
      <c r="D21" s="163" t="s">
        <v>140</v>
      </c>
      <c r="E21" s="163"/>
      <c r="F21" s="163"/>
      <c r="G21" s="163"/>
      <c r="H21" s="164"/>
      <c r="I21" s="165"/>
    </row>
    <row r="22" spans="1:9" ht="20.100000000000001" customHeight="1">
      <c r="A22" s="414" t="s">
        <v>107</v>
      </c>
      <c r="B22" s="162" t="s">
        <v>108</v>
      </c>
      <c r="C22" s="163" t="s">
        <v>106</v>
      </c>
      <c r="D22" s="163" t="s">
        <v>106</v>
      </c>
      <c r="E22" s="163"/>
      <c r="F22" s="163"/>
      <c r="G22" s="163"/>
      <c r="H22" s="164"/>
      <c r="I22" s="165"/>
    </row>
    <row r="23" spans="1:9" ht="20.100000000000001" customHeight="1">
      <c r="A23" s="414" t="s">
        <v>141</v>
      </c>
      <c r="B23" s="162" t="s">
        <v>114</v>
      </c>
      <c r="C23" s="163" t="s">
        <v>142</v>
      </c>
      <c r="D23" s="163" t="s">
        <v>114</v>
      </c>
      <c r="E23" s="163"/>
      <c r="F23" s="163"/>
      <c r="G23" s="163"/>
      <c r="H23" s="164"/>
      <c r="I23" s="165"/>
    </row>
    <row r="24" spans="1:9" ht="20.100000000000001" customHeight="1">
      <c r="A24" s="414" t="s">
        <v>95</v>
      </c>
      <c r="B24" s="162" t="s">
        <v>97</v>
      </c>
      <c r="C24" s="163" t="s">
        <v>98</v>
      </c>
      <c r="D24" s="163" t="s">
        <v>99</v>
      </c>
      <c r="E24" s="163"/>
      <c r="F24" s="163"/>
      <c r="G24" s="163"/>
      <c r="H24" s="164"/>
      <c r="I24" s="165"/>
    </row>
    <row r="25" spans="1:9" ht="20.100000000000001" customHeight="1">
      <c r="A25" s="414" t="s">
        <v>117</v>
      </c>
      <c r="B25" s="162" t="s">
        <v>114</v>
      </c>
      <c r="C25" s="163" t="s">
        <v>118</v>
      </c>
      <c r="D25" s="163" t="s">
        <v>114</v>
      </c>
      <c r="E25" s="163"/>
      <c r="F25" s="163"/>
      <c r="G25" s="163"/>
      <c r="H25" s="164"/>
      <c r="I25" s="165"/>
    </row>
    <row r="26" spans="1:9" ht="20.100000000000001" customHeight="1">
      <c r="A26" s="414" t="s">
        <v>85</v>
      </c>
      <c r="B26" s="162" t="s">
        <v>105</v>
      </c>
      <c r="C26" s="163" t="s">
        <v>106</v>
      </c>
      <c r="D26" s="163" t="s">
        <v>103</v>
      </c>
      <c r="E26" s="163"/>
      <c r="F26" s="163"/>
      <c r="G26" s="163"/>
      <c r="H26" s="164"/>
      <c r="I26" s="165"/>
    </row>
    <row r="27" spans="1:9" ht="20.100000000000001" customHeight="1">
      <c r="A27" s="414" t="s">
        <v>143</v>
      </c>
      <c r="B27" s="162" t="s">
        <v>114</v>
      </c>
      <c r="C27" s="163" t="s">
        <v>114</v>
      </c>
      <c r="D27" s="163" t="s">
        <v>119</v>
      </c>
      <c r="E27" s="163"/>
      <c r="F27" s="163"/>
      <c r="G27" s="163"/>
      <c r="H27" s="164"/>
      <c r="I27" s="165"/>
    </row>
    <row r="28" spans="1:9" ht="20.100000000000001" customHeight="1">
      <c r="A28" s="414" t="s">
        <v>144</v>
      </c>
      <c r="B28" s="162" t="s">
        <v>114</v>
      </c>
      <c r="C28" s="163" t="s">
        <v>103</v>
      </c>
      <c r="D28" s="163" t="s">
        <v>102</v>
      </c>
      <c r="E28" s="163"/>
      <c r="F28" s="163"/>
      <c r="G28" s="163"/>
      <c r="H28" s="164"/>
      <c r="I28" s="165"/>
    </row>
    <row r="29" spans="1:9" ht="20.100000000000001" customHeight="1">
      <c r="A29" s="414"/>
      <c r="B29" s="162"/>
      <c r="C29" s="163"/>
      <c r="D29" s="163"/>
      <c r="E29" s="163"/>
      <c r="F29" s="163"/>
      <c r="G29" s="163"/>
      <c r="H29" s="164"/>
      <c r="I29" s="165"/>
    </row>
    <row r="30" spans="1:9" ht="20.100000000000001" customHeight="1">
      <c r="A30" s="414"/>
      <c r="B30" s="166"/>
      <c r="C30" s="167"/>
      <c r="D30" s="167"/>
      <c r="E30" s="167"/>
      <c r="F30" s="167"/>
      <c r="G30" s="167"/>
      <c r="H30" s="168"/>
      <c r="I30" s="172"/>
    </row>
    <row r="31" spans="1:9" ht="20.100000000000001" customHeight="1">
      <c r="A31" s="414"/>
      <c r="B31" s="173"/>
      <c r="C31" s="174"/>
      <c r="D31" s="174"/>
      <c r="E31" s="174"/>
      <c r="F31" s="174"/>
      <c r="G31" s="174"/>
      <c r="H31" s="174"/>
      <c r="I31" s="150"/>
    </row>
    <row r="32" spans="1:9" ht="20.100000000000001" customHeight="1">
      <c r="A32" s="414"/>
      <c r="B32" s="146"/>
      <c r="C32" s="132"/>
      <c r="D32" s="132"/>
      <c r="E32" s="132"/>
      <c r="F32" s="132"/>
      <c r="G32" s="132"/>
      <c r="H32" s="132"/>
      <c r="I32" s="150"/>
    </row>
    <row r="33" spans="1:9" ht="20.100000000000001" customHeight="1">
      <c r="A33" s="414"/>
      <c r="B33" s="146"/>
      <c r="C33" s="132"/>
      <c r="D33" s="132"/>
      <c r="E33" s="132"/>
      <c r="F33" s="132"/>
      <c r="G33" s="132"/>
      <c r="H33" s="132"/>
      <c r="I33" s="150"/>
    </row>
    <row r="34" spans="1:9" ht="20.100000000000001" customHeight="1" thickBot="1">
      <c r="A34" s="412"/>
      <c r="B34" s="147"/>
      <c r="C34" s="148"/>
      <c r="D34" s="148"/>
      <c r="E34" s="148"/>
      <c r="F34" s="148"/>
      <c r="G34" s="148"/>
      <c r="H34" s="148"/>
      <c r="I34" s="151"/>
    </row>
    <row r="35" spans="1:9" ht="20.100000000000001" customHeight="1">
      <c r="A35" s="705" t="s">
        <v>147</v>
      </c>
      <c r="B35" s="697"/>
      <c r="C35" s="697"/>
      <c r="D35" s="697"/>
      <c r="E35" s="697"/>
      <c r="F35" s="697"/>
      <c r="G35" s="697"/>
      <c r="H35" s="697"/>
    </row>
    <row r="36" spans="1:9" ht="20.100000000000001" customHeight="1">
      <c r="A36" s="104"/>
      <c r="B36" s="104"/>
      <c r="C36" s="104"/>
      <c r="D36" s="104"/>
    </row>
    <row r="37" spans="1:9" ht="20.100000000000001" customHeight="1" thickBot="1">
      <c r="A37" s="155" t="s">
        <v>0</v>
      </c>
      <c r="B37" s="156" t="s">
        <v>1</v>
      </c>
      <c r="C37" s="153" t="s">
        <v>120</v>
      </c>
      <c r="D37" s="153" t="s">
        <v>121</v>
      </c>
      <c r="E37" s="156" t="s">
        <v>4</v>
      </c>
      <c r="F37" s="156" t="s">
        <v>5</v>
      </c>
      <c r="G37" s="156" t="s">
        <v>72</v>
      </c>
      <c r="H37" s="156" t="s">
        <v>72</v>
      </c>
      <c r="I37" s="157" t="s">
        <v>166</v>
      </c>
    </row>
    <row r="38" spans="1:9" ht="20.100000000000001" customHeight="1">
      <c r="A38" s="413"/>
      <c r="B38" s="175"/>
      <c r="C38" s="176"/>
      <c r="D38" s="176"/>
      <c r="E38" s="176"/>
      <c r="F38" s="176"/>
      <c r="G38" s="176"/>
      <c r="H38" s="176"/>
      <c r="I38" s="161"/>
    </row>
    <row r="39" spans="1:9" ht="20.100000000000001" customHeight="1">
      <c r="A39" s="414"/>
      <c r="B39" s="146"/>
      <c r="C39" s="132"/>
      <c r="D39" s="132"/>
      <c r="E39" s="132"/>
      <c r="F39" s="132"/>
      <c r="G39" s="132"/>
      <c r="H39" s="132"/>
      <c r="I39" s="165"/>
    </row>
    <row r="40" spans="1:9" ht="20.100000000000001" customHeight="1">
      <c r="A40" s="414"/>
      <c r="B40" s="173"/>
      <c r="C40" s="174"/>
      <c r="D40" s="174"/>
      <c r="E40" s="174"/>
      <c r="F40" s="174"/>
      <c r="G40" s="174"/>
      <c r="H40" s="174"/>
      <c r="I40" s="165"/>
    </row>
    <row r="41" spans="1:9" ht="20.100000000000001" customHeight="1">
      <c r="A41" s="414"/>
      <c r="B41" s="146"/>
      <c r="C41" s="132"/>
      <c r="D41" s="132"/>
      <c r="E41" s="132"/>
      <c r="F41" s="132"/>
      <c r="G41" s="132"/>
      <c r="H41" s="132"/>
      <c r="I41" s="165"/>
    </row>
    <row r="42" spans="1:9" ht="20.100000000000001" customHeight="1">
      <c r="A42" s="414"/>
      <c r="B42" s="146"/>
      <c r="C42" s="132"/>
      <c r="D42" s="132"/>
      <c r="E42" s="132"/>
      <c r="F42" s="132"/>
      <c r="G42" s="132"/>
      <c r="H42" s="132"/>
      <c r="I42" s="165"/>
    </row>
    <row r="43" spans="1:9" ht="20.100000000000001" customHeight="1">
      <c r="A43" s="414"/>
      <c r="B43" s="146"/>
      <c r="C43" s="132"/>
      <c r="D43" s="132"/>
      <c r="E43" s="132"/>
      <c r="F43" s="132"/>
      <c r="G43" s="132"/>
      <c r="H43" s="132"/>
      <c r="I43" s="165"/>
    </row>
    <row r="44" spans="1:9" ht="20.100000000000001" customHeight="1">
      <c r="A44" s="414"/>
      <c r="B44" s="173"/>
      <c r="C44" s="174"/>
      <c r="D44" s="174"/>
      <c r="E44" s="174"/>
      <c r="F44" s="174"/>
      <c r="G44" s="174"/>
      <c r="H44" s="174"/>
      <c r="I44" s="165"/>
    </row>
    <row r="45" spans="1:9" ht="20.100000000000001" customHeight="1">
      <c r="A45" s="414"/>
      <c r="B45" s="173"/>
      <c r="C45" s="174"/>
      <c r="D45" s="174"/>
      <c r="E45" s="174"/>
      <c r="F45" s="174"/>
      <c r="G45" s="174"/>
      <c r="H45" s="174"/>
      <c r="I45" s="165"/>
    </row>
    <row r="46" spans="1:9">
      <c r="A46" s="414"/>
      <c r="B46" s="173"/>
      <c r="C46" s="174"/>
      <c r="D46" s="174"/>
      <c r="E46" s="174"/>
      <c r="F46" s="174"/>
      <c r="G46" s="174"/>
      <c r="H46" s="174"/>
      <c r="I46" s="165"/>
    </row>
    <row r="47" spans="1:9">
      <c r="A47" s="414"/>
      <c r="B47" s="173"/>
      <c r="C47" s="174"/>
      <c r="D47" s="174"/>
      <c r="E47" s="174"/>
      <c r="F47" s="174"/>
      <c r="G47" s="174"/>
      <c r="H47" s="174"/>
      <c r="I47" s="165"/>
    </row>
    <row r="48" spans="1:9">
      <c r="A48" s="414"/>
      <c r="B48" s="173"/>
      <c r="C48" s="174"/>
      <c r="D48" s="174"/>
      <c r="E48" s="174"/>
      <c r="F48" s="174"/>
      <c r="G48" s="174"/>
      <c r="H48" s="174"/>
      <c r="I48" s="165"/>
    </row>
    <row r="49" spans="1:9">
      <c r="A49" s="414"/>
      <c r="B49" s="173"/>
      <c r="C49" s="174"/>
      <c r="D49" s="174"/>
      <c r="E49" s="174"/>
      <c r="F49" s="174"/>
      <c r="G49" s="174"/>
      <c r="H49" s="174"/>
      <c r="I49" s="165"/>
    </row>
    <row r="50" spans="1:9">
      <c r="A50" s="414"/>
      <c r="B50" s="173"/>
      <c r="C50" s="174"/>
      <c r="D50" s="174"/>
      <c r="E50" s="174"/>
      <c r="F50" s="174"/>
      <c r="G50" s="174"/>
      <c r="H50" s="174"/>
      <c r="I50" s="165"/>
    </row>
    <row r="51" spans="1:9">
      <c r="A51" s="414"/>
      <c r="B51" s="173"/>
      <c r="C51" s="174"/>
      <c r="D51" s="174"/>
      <c r="E51" s="174"/>
      <c r="F51" s="174"/>
      <c r="G51" s="174"/>
      <c r="H51" s="174"/>
      <c r="I51" s="165"/>
    </row>
    <row r="52" spans="1:9">
      <c r="A52" s="414"/>
      <c r="B52" s="173"/>
      <c r="C52" s="174"/>
      <c r="D52" s="174"/>
      <c r="E52" s="174"/>
      <c r="F52" s="174"/>
      <c r="G52" s="174"/>
      <c r="H52" s="174"/>
      <c r="I52" s="150"/>
    </row>
    <row r="53" spans="1:9">
      <c r="A53" s="414"/>
      <c r="B53" s="173"/>
      <c r="C53" s="174"/>
      <c r="D53" s="174"/>
      <c r="E53" s="174"/>
      <c r="F53" s="174"/>
      <c r="G53" s="174"/>
      <c r="H53" s="174"/>
      <c r="I53" s="165"/>
    </row>
    <row r="54" spans="1:9">
      <c r="A54" s="414"/>
      <c r="B54" s="173"/>
      <c r="C54" s="174"/>
      <c r="D54" s="174"/>
      <c r="E54" s="174"/>
      <c r="F54" s="174"/>
      <c r="G54" s="174"/>
      <c r="H54" s="174"/>
      <c r="I54" s="165"/>
    </row>
    <row r="55" spans="1:9">
      <c r="A55" s="414"/>
      <c r="B55" s="173"/>
      <c r="C55" s="174"/>
      <c r="D55" s="174"/>
      <c r="E55" s="174"/>
      <c r="F55" s="174"/>
      <c r="G55" s="174"/>
      <c r="H55" s="174"/>
      <c r="I55" s="165"/>
    </row>
    <row r="56" spans="1:9">
      <c r="A56" s="414"/>
      <c r="B56" s="173"/>
      <c r="C56" s="174"/>
      <c r="D56" s="174"/>
      <c r="E56" s="174"/>
      <c r="F56" s="174"/>
      <c r="G56" s="174"/>
      <c r="H56" s="174"/>
      <c r="I56" s="165"/>
    </row>
    <row r="57" spans="1:9">
      <c r="A57" s="414"/>
      <c r="B57" s="173"/>
      <c r="C57" s="174"/>
      <c r="D57" s="174"/>
      <c r="E57" s="174"/>
      <c r="F57" s="174"/>
      <c r="G57" s="174"/>
      <c r="H57" s="174"/>
      <c r="I57" s="165"/>
    </row>
    <row r="58" spans="1:9">
      <c r="A58" s="414"/>
      <c r="B58" s="173"/>
      <c r="C58" s="174"/>
      <c r="D58" s="174"/>
      <c r="E58" s="174"/>
      <c r="F58" s="174"/>
      <c r="G58" s="174"/>
      <c r="H58" s="174"/>
      <c r="I58" s="165"/>
    </row>
    <row r="59" spans="1:9">
      <c r="A59" s="414"/>
      <c r="B59" s="173"/>
      <c r="C59" s="174"/>
      <c r="D59" s="174"/>
      <c r="E59" s="174"/>
      <c r="F59" s="174"/>
      <c r="G59" s="174"/>
      <c r="H59" s="174"/>
      <c r="I59" s="165"/>
    </row>
    <row r="60" spans="1:9">
      <c r="A60" s="414"/>
      <c r="B60" s="173"/>
      <c r="C60" s="174"/>
      <c r="D60" s="174"/>
      <c r="E60" s="174"/>
      <c r="F60" s="174"/>
      <c r="G60" s="174"/>
      <c r="H60" s="174"/>
      <c r="I60" s="165"/>
    </row>
    <row r="61" spans="1:9">
      <c r="A61" s="414"/>
      <c r="B61" s="173"/>
      <c r="C61" s="174"/>
      <c r="D61" s="174"/>
      <c r="E61" s="174"/>
      <c r="F61" s="174"/>
      <c r="G61" s="174"/>
      <c r="H61" s="174"/>
      <c r="I61" s="165"/>
    </row>
    <row r="62" spans="1:9">
      <c r="A62" s="414"/>
      <c r="B62" s="173"/>
      <c r="C62" s="174"/>
      <c r="D62" s="174"/>
      <c r="E62" s="174"/>
      <c r="F62" s="174"/>
      <c r="G62" s="174"/>
      <c r="H62" s="174"/>
      <c r="I62" s="165"/>
    </row>
    <row r="63" spans="1:9">
      <c r="A63" s="414"/>
      <c r="B63" s="173"/>
      <c r="C63" s="174"/>
      <c r="D63" s="174"/>
      <c r="E63" s="174"/>
      <c r="F63" s="174"/>
      <c r="G63" s="174"/>
      <c r="H63" s="174"/>
      <c r="I63" s="165"/>
    </row>
    <row r="64" spans="1:9" ht="15.75" thickBot="1">
      <c r="A64" s="412"/>
      <c r="B64" s="177"/>
      <c r="C64" s="178"/>
      <c r="D64" s="178"/>
      <c r="E64" s="178"/>
      <c r="F64" s="178"/>
      <c r="G64" s="178"/>
      <c r="H64" s="178"/>
      <c r="I64" s="179"/>
    </row>
  </sheetData>
  <mergeCells count="3">
    <mergeCell ref="B18:H18"/>
    <mergeCell ref="A1:H1"/>
    <mergeCell ref="A35:H35"/>
  </mergeCells>
  <phoneticPr fontId="13" type="noConversion"/>
  <pageMargins left="0.6" right="0.35" top="1" bottom="0.75" header="0.3" footer="0.3"/>
  <pageSetup orientation="portrait" r:id="rId1"/>
  <headerFooter>
    <oddHeader>&amp;L&amp;D&amp;CVegetable Nutrient Management Planning Workbook&amp;R&amp;G</oddHeader>
  </headerFooter>
  <ignoredErrors>
    <ignoredError sqref="I19:I30 B4:G30 I4:I17 H18" numberStoredAsText="1"/>
  </ignoredErrors>
  <legacyDrawingHF r:id="rId2"/>
</worksheet>
</file>

<file path=xl/worksheets/sheet12.xml><?xml version="1.0" encoding="utf-8"?>
<worksheet xmlns="http://schemas.openxmlformats.org/spreadsheetml/2006/main" xmlns:r="http://schemas.openxmlformats.org/officeDocument/2006/relationships">
  <sheetPr codeName="Sheet9">
    <tabColor rgb="FF92D050"/>
    <pageSetUpPr fitToPage="1"/>
  </sheetPr>
  <dimension ref="A1:H44"/>
  <sheetViews>
    <sheetView showGridLines="0" showRowColHeaders="0" zoomScale="125" workbookViewId="0">
      <selection activeCell="B30" sqref="B30"/>
    </sheetView>
  </sheetViews>
  <sheetFormatPr defaultColWidth="0" defaultRowHeight="15" zeroHeight="1"/>
  <cols>
    <col min="1" max="1" width="9.140625" customWidth="1"/>
    <col min="2" max="2" width="28" customWidth="1"/>
    <col min="3" max="8" width="9.140625" customWidth="1"/>
  </cols>
  <sheetData>
    <row r="1" spans="1:8" ht="21">
      <c r="A1" s="706" t="s">
        <v>76</v>
      </c>
      <c r="B1" s="706"/>
      <c r="C1" s="706"/>
      <c r="D1" s="706"/>
      <c r="E1" s="706"/>
      <c r="F1" s="706"/>
      <c r="G1" s="706"/>
    </row>
    <row r="2" spans="1:8">
      <c r="A2" s="38"/>
      <c r="B2" s="39"/>
      <c r="C2" s="39"/>
      <c r="D2" s="39"/>
      <c r="E2" s="39"/>
      <c r="F2" s="39"/>
      <c r="G2" s="39"/>
      <c r="H2" s="40"/>
    </row>
    <row r="3" spans="1:8">
      <c r="A3" s="41"/>
      <c r="B3" s="42"/>
      <c r="C3" s="42"/>
      <c r="D3" s="42"/>
      <c r="E3" s="42"/>
      <c r="F3" s="42"/>
      <c r="G3" s="42"/>
      <c r="H3" s="43"/>
    </row>
    <row r="4" spans="1:8">
      <c r="A4" s="41"/>
      <c r="B4" s="42"/>
      <c r="C4" s="42"/>
      <c r="D4" s="42"/>
      <c r="E4" s="42"/>
      <c r="F4" s="42"/>
      <c r="G4" s="42"/>
      <c r="H4" s="43"/>
    </row>
    <row r="5" spans="1:8">
      <c r="A5" s="41"/>
      <c r="B5" s="42"/>
      <c r="C5" s="42"/>
      <c r="D5" s="42"/>
      <c r="E5" s="42"/>
      <c r="F5" s="42"/>
      <c r="G5" s="42"/>
      <c r="H5" s="43"/>
    </row>
    <row r="6" spans="1:8">
      <c r="A6" s="41" t="s">
        <v>38</v>
      </c>
      <c r="B6" s="42"/>
      <c r="C6" s="42"/>
      <c r="D6" s="42"/>
      <c r="E6" s="42"/>
      <c r="F6" s="42"/>
      <c r="G6" s="42"/>
      <c r="H6" s="43"/>
    </row>
    <row r="7" spans="1:8">
      <c r="A7" s="44" t="s">
        <v>31</v>
      </c>
      <c r="B7" s="42"/>
      <c r="C7" s="42" t="s">
        <v>39</v>
      </c>
      <c r="D7" s="42"/>
      <c r="E7" s="707" t="s">
        <v>78</v>
      </c>
      <c r="F7" s="707"/>
      <c r="G7" s="707"/>
      <c r="H7" s="43"/>
    </row>
    <row r="8" spans="1:8">
      <c r="A8" s="41"/>
      <c r="B8" s="45" t="s">
        <v>32</v>
      </c>
      <c r="C8" s="42">
        <v>3</v>
      </c>
      <c r="D8" s="42"/>
      <c r="E8" s="707"/>
      <c r="F8" s="707"/>
      <c r="G8" s="707"/>
      <c r="H8" s="43"/>
    </row>
    <row r="9" spans="1:8">
      <c r="A9" s="41"/>
      <c r="B9" s="45" t="s">
        <v>33</v>
      </c>
      <c r="C9" s="42">
        <v>12</v>
      </c>
      <c r="D9" s="42"/>
      <c r="E9" s="707"/>
      <c r="F9" s="707"/>
      <c r="G9" s="707"/>
      <c r="H9" s="43"/>
    </row>
    <row r="10" spans="1:8">
      <c r="A10" s="44" t="s">
        <v>34</v>
      </c>
      <c r="B10" s="42"/>
      <c r="C10" s="42"/>
      <c r="D10" s="42"/>
      <c r="E10" s="707"/>
      <c r="F10" s="707"/>
      <c r="G10" s="707"/>
      <c r="H10" s="43"/>
    </row>
    <row r="11" spans="1:8">
      <c r="A11" s="41"/>
      <c r="B11" s="42" t="s">
        <v>35</v>
      </c>
      <c r="C11" s="42">
        <v>8</v>
      </c>
      <c r="D11" s="42"/>
      <c r="E11" s="707"/>
      <c r="F11" s="707"/>
      <c r="G11" s="707"/>
      <c r="H11" s="43"/>
    </row>
    <row r="12" spans="1:8">
      <c r="A12" s="41"/>
      <c r="B12" s="42" t="s">
        <v>771</v>
      </c>
      <c r="C12" s="42">
        <v>11</v>
      </c>
      <c r="D12" s="42"/>
      <c r="E12" s="707"/>
      <c r="F12" s="707"/>
      <c r="G12" s="707"/>
      <c r="H12" s="43"/>
    </row>
    <row r="13" spans="1:8">
      <c r="A13" s="41"/>
      <c r="B13" s="42" t="s">
        <v>36</v>
      </c>
      <c r="C13" s="42">
        <v>13</v>
      </c>
      <c r="D13" s="42"/>
      <c r="E13" s="707"/>
      <c r="F13" s="707"/>
      <c r="G13" s="707"/>
      <c r="H13" s="43"/>
    </row>
    <row r="14" spans="1:8">
      <c r="A14" s="41"/>
      <c r="B14" s="42" t="s">
        <v>37</v>
      </c>
      <c r="C14" s="42">
        <v>13</v>
      </c>
      <c r="D14" s="42"/>
      <c r="E14" s="707"/>
      <c r="F14" s="707"/>
      <c r="G14" s="707"/>
      <c r="H14" s="43"/>
    </row>
    <row r="15" spans="1:8">
      <c r="A15" s="41"/>
      <c r="B15" s="42"/>
      <c r="C15" s="42"/>
      <c r="D15" s="42"/>
      <c r="E15" s="42"/>
      <c r="F15" s="42"/>
      <c r="G15" s="42"/>
      <c r="H15" s="43"/>
    </row>
    <row r="16" spans="1:8">
      <c r="A16" s="41" t="s">
        <v>29</v>
      </c>
      <c r="B16" s="46" t="s">
        <v>44</v>
      </c>
      <c r="C16" s="42"/>
      <c r="D16" s="42"/>
      <c r="E16" s="42"/>
      <c r="F16" s="42"/>
      <c r="G16" s="42"/>
      <c r="H16" s="43"/>
    </row>
    <row r="17" spans="1:8">
      <c r="A17" s="41"/>
      <c r="B17" s="47" t="s">
        <v>77</v>
      </c>
      <c r="C17" s="42"/>
      <c r="D17" s="42"/>
      <c r="E17" s="42"/>
      <c r="F17" s="42"/>
      <c r="G17" s="42"/>
      <c r="H17" s="43"/>
    </row>
    <row r="18" spans="1:8">
      <c r="A18" s="41"/>
      <c r="B18" s="42" t="s">
        <v>154</v>
      </c>
      <c r="C18" s="42"/>
      <c r="D18" s="42"/>
      <c r="E18" s="42"/>
      <c r="F18" s="42"/>
      <c r="G18" s="42"/>
      <c r="H18" s="43"/>
    </row>
    <row r="19" spans="1:8">
      <c r="A19" s="41"/>
      <c r="B19" s="42"/>
      <c r="C19" s="42"/>
      <c r="D19" s="42"/>
      <c r="E19" s="42"/>
      <c r="F19" s="42"/>
      <c r="G19" s="42"/>
      <c r="H19" s="43"/>
    </row>
    <row r="20" spans="1:8">
      <c r="A20" s="41" t="s">
        <v>30</v>
      </c>
      <c r="B20" s="42"/>
      <c r="C20" s="42" t="s">
        <v>43</v>
      </c>
      <c r="D20" s="42"/>
      <c r="E20" s="42"/>
      <c r="F20" s="42"/>
      <c r="G20" s="42"/>
      <c r="H20" s="43"/>
    </row>
    <row r="21" spans="1:8">
      <c r="A21" s="48" t="s">
        <v>40</v>
      </c>
      <c r="B21" s="42"/>
      <c r="C21" s="42">
        <v>20</v>
      </c>
      <c r="D21" s="42"/>
      <c r="E21" s="42"/>
      <c r="F21" s="42"/>
      <c r="G21" s="42"/>
      <c r="H21" s="43"/>
    </row>
    <row r="22" spans="1:8">
      <c r="A22" s="44" t="s">
        <v>151</v>
      </c>
      <c r="B22" s="42"/>
      <c r="C22" s="42">
        <v>40</v>
      </c>
      <c r="D22" s="42"/>
      <c r="E22" s="42"/>
      <c r="F22" s="42"/>
      <c r="G22" s="42"/>
      <c r="H22" s="43"/>
    </row>
    <row r="23" spans="1:8">
      <c r="A23" s="44" t="s">
        <v>152</v>
      </c>
      <c r="B23" s="42"/>
      <c r="C23" s="42">
        <v>60</v>
      </c>
      <c r="D23" s="42"/>
      <c r="E23" s="42"/>
      <c r="F23" s="42"/>
      <c r="G23" s="42"/>
      <c r="H23" s="43"/>
    </row>
    <row r="24" spans="1:8">
      <c r="A24" s="44" t="s">
        <v>150</v>
      </c>
      <c r="B24" s="42"/>
      <c r="C24" s="42">
        <v>60</v>
      </c>
      <c r="D24" s="42"/>
      <c r="E24" s="42"/>
      <c r="F24" s="42"/>
      <c r="G24" s="42"/>
      <c r="H24" s="43"/>
    </row>
    <row r="25" spans="1:8">
      <c r="A25" s="44" t="s">
        <v>153</v>
      </c>
      <c r="B25" s="42"/>
      <c r="C25" s="42">
        <v>100</v>
      </c>
      <c r="D25" s="42"/>
      <c r="E25" s="42"/>
      <c r="F25" s="42"/>
      <c r="G25" s="42"/>
      <c r="H25" s="43"/>
    </row>
    <row r="26" spans="1:8">
      <c r="A26" s="48" t="s">
        <v>41</v>
      </c>
      <c r="B26" s="42"/>
      <c r="C26" s="42">
        <v>30</v>
      </c>
      <c r="D26" s="42"/>
      <c r="E26" s="42"/>
      <c r="F26" s="42"/>
      <c r="G26" s="42"/>
      <c r="H26" s="43"/>
    </row>
    <row r="27" spans="1:8">
      <c r="A27" s="48" t="s">
        <v>42</v>
      </c>
      <c r="B27" s="42"/>
      <c r="C27" s="42">
        <v>40</v>
      </c>
      <c r="D27" s="42"/>
      <c r="E27" s="42"/>
      <c r="F27" s="42"/>
      <c r="G27" s="42"/>
      <c r="H27" s="43"/>
    </row>
    <row r="28" spans="1:8">
      <c r="A28" s="54"/>
      <c r="B28" s="42"/>
      <c r="C28" s="42"/>
      <c r="D28" s="42"/>
      <c r="E28" s="42"/>
      <c r="F28" s="42"/>
      <c r="G28" s="42"/>
      <c r="H28" s="43"/>
    </row>
    <row r="29" spans="1:8">
      <c r="A29" s="54"/>
      <c r="B29" s="42"/>
      <c r="C29" s="42"/>
      <c r="D29" s="42"/>
      <c r="E29" s="42"/>
      <c r="F29" s="42"/>
      <c r="G29" s="42"/>
      <c r="H29" s="43"/>
    </row>
    <row r="30" spans="1:8">
      <c r="A30" s="48"/>
      <c r="B30" s="42"/>
      <c r="C30" s="42"/>
      <c r="D30" s="42"/>
      <c r="E30" s="42"/>
      <c r="F30" s="42"/>
      <c r="G30" s="42"/>
      <c r="H30" s="43"/>
    </row>
    <row r="31" spans="1:8">
      <c r="A31" s="44"/>
      <c r="B31" s="42"/>
      <c r="C31" s="42"/>
      <c r="D31" s="42"/>
      <c r="E31" s="42"/>
      <c r="F31" s="42"/>
      <c r="G31" s="42"/>
      <c r="H31" s="43"/>
    </row>
    <row r="32" spans="1:8">
      <c r="A32" s="44" t="s">
        <v>149</v>
      </c>
      <c r="B32" s="42"/>
      <c r="C32" s="42"/>
      <c r="D32" s="42"/>
      <c r="E32" s="42"/>
      <c r="F32" s="42"/>
      <c r="G32" s="42"/>
      <c r="H32" s="43"/>
    </row>
    <row r="33" spans="1:8">
      <c r="A33" s="44"/>
      <c r="B33" s="42"/>
      <c r="C33" s="42"/>
      <c r="D33" s="42"/>
      <c r="E33" s="42"/>
      <c r="F33" s="42"/>
      <c r="G33" s="42"/>
      <c r="H33" s="43"/>
    </row>
    <row r="34" spans="1:8">
      <c r="A34" s="44"/>
      <c r="B34" s="42"/>
      <c r="C34" s="42"/>
      <c r="D34" s="42"/>
      <c r="E34" s="42"/>
      <c r="F34" s="42"/>
      <c r="G34" s="42"/>
      <c r="H34" s="43"/>
    </row>
    <row r="35" spans="1:8">
      <c r="A35" s="44"/>
      <c r="B35" s="42"/>
      <c r="C35" s="42"/>
      <c r="D35" s="42"/>
      <c r="E35" s="42"/>
      <c r="F35" s="42"/>
      <c r="G35" s="42"/>
      <c r="H35" s="43"/>
    </row>
    <row r="36" spans="1:8">
      <c r="A36" s="44"/>
      <c r="B36" s="42"/>
      <c r="C36" s="42"/>
      <c r="D36" s="42"/>
      <c r="E36" s="42"/>
      <c r="F36" s="42"/>
      <c r="G36" s="42"/>
      <c r="H36" s="43"/>
    </row>
    <row r="37" spans="1:8">
      <c r="A37" s="44"/>
      <c r="B37" s="42"/>
      <c r="C37" s="42"/>
      <c r="D37" s="42"/>
      <c r="E37" s="42"/>
      <c r="F37" s="42"/>
      <c r="G37" s="42"/>
      <c r="H37" s="43"/>
    </row>
    <row r="38" spans="1:8">
      <c r="A38" s="44"/>
      <c r="B38" s="42"/>
      <c r="C38" s="42"/>
      <c r="D38" s="42"/>
      <c r="E38" s="42"/>
      <c r="F38" s="42"/>
      <c r="G38" s="42"/>
      <c r="H38" s="43"/>
    </row>
    <row r="39" spans="1:8">
      <c r="A39" s="708" t="s">
        <v>148</v>
      </c>
      <c r="B39" s="709"/>
      <c r="C39" s="709"/>
      <c r="D39" s="709"/>
      <c r="E39" s="709"/>
      <c r="F39" s="709"/>
      <c r="G39" s="709"/>
      <c r="H39" s="710"/>
    </row>
    <row r="40" spans="1:8">
      <c r="A40" s="708"/>
      <c r="B40" s="709"/>
      <c r="C40" s="709"/>
      <c r="D40" s="709"/>
      <c r="E40" s="709"/>
      <c r="F40" s="709"/>
      <c r="G40" s="709"/>
      <c r="H40" s="710"/>
    </row>
    <row r="41" spans="1:8">
      <c r="A41" s="708"/>
      <c r="B41" s="709"/>
      <c r="C41" s="709"/>
      <c r="D41" s="709"/>
      <c r="E41" s="709"/>
      <c r="F41" s="709"/>
      <c r="G41" s="709"/>
      <c r="H41" s="710"/>
    </row>
    <row r="42" spans="1:8">
      <c r="A42" s="708"/>
      <c r="B42" s="709"/>
      <c r="C42" s="709"/>
      <c r="D42" s="709"/>
      <c r="E42" s="709"/>
      <c r="F42" s="709"/>
      <c r="G42" s="709"/>
      <c r="H42" s="710"/>
    </row>
    <row r="43" spans="1:8">
      <c r="A43" s="708"/>
      <c r="B43" s="709"/>
      <c r="C43" s="709"/>
      <c r="D43" s="709"/>
      <c r="E43" s="709"/>
      <c r="F43" s="709"/>
      <c r="G43" s="709"/>
      <c r="H43" s="710"/>
    </row>
    <row r="44" spans="1:8">
      <c r="A44" s="711"/>
      <c r="B44" s="712"/>
      <c r="C44" s="712"/>
      <c r="D44" s="712"/>
      <c r="E44" s="712"/>
      <c r="F44" s="712"/>
      <c r="G44" s="712"/>
      <c r="H44" s="713"/>
    </row>
  </sheetData>
  <mergeCells count="3">
    <mergeCell ref="A1:G1"/>
    <mergeCell ref="E7:G14"/>
    <mergeCell ref="A39:H44"/>
  </mergeCells>
  <phoneticPr fontId="13" type="noConversion"/>
  <pageMargins left="0.45" right="0.45" top="1" bottom="0.75" header="0.3" footer="0.3"/>
  <pageSetup scale="98" orientation="portrait" r:id="rId1"/>
  <headerFooter>
    <oddHeader>&amp;L&amp;D&amp;CVegetable Nutrient Management Planning Workbook&amp;R&amp;G</oddHeader>
  </headerFooter>
  <legacyDrawingHF r:id="rId2"/>
</worksheet>
</file>

<file path=xl/worksheets/sheet13.xml><?xml version="1.0" encoding="utf-8"?>
<worksheet xmlns="http://schemas.openxmlformats.org/spreadsheetml/2006/main" xmlns:r="http://schemas.openxmlformats.org/officeDocument/2006/relationships">
  <sheetPr codeName="Sheet10">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4" width="5.28515625" style="7" hidden="1" customWidth="1"/>
    <col min="15" max="15" width="5.85546875" style="7" hidden="1" customWidth="1"/>
    <col min="16" max="16" width="14" style="7" hidden="1" customWidth="1"/>
    <col min="17" max="111" width="9.140625" style="7" hidden="1" customWidth="1"/>
    <col min="112" max="16384" width="9.140625" hidden="1"/>
  </cols>
  <sheetData>
    <row r="1" spans="1:111" s="12" customFormat="1" ht="17.25">
      <c r="A1" s="384" t="s">
        <v>66</v>
      </c>
      <c r="B1" s="385">
        <f>'Field Info'!A4</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Info'!C4</f>
        <v>0</v>
      </c>
      <c r="C2" s="12" t="s">
        <v>165</v>
      </c>
      <c r="E2" s="715"/>
      <c r="F2" s="716"/>
      <c r="G2" s="8">
        <f>'Soil Test Results'!B4</f>
        <v>0</v>
      </c>
      <c r="H2" s="10"/>
      <c r="I2" s="4" t="str">
        <f>'Soil Test Results'!C4</f>
        <v>low</v>
      </c>
      <c r="J2" s="6">
        <f>'Soil Test Results'!D4</f>
        <v>0</v>
      </c>
      <c r="K2" s="9">
        <f>'Soil Test Results'!E4</f>
        <v>0</v>
      </c>
      <c r="L2" s="8">
        <f>'Soil Test Results'!F4</f>
        <v>0</v>
      </c>
      <c r="M2" s="390">
        <f>'Soil Test Results'!G4</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Info'!N4</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D45:F45"/>
    <mergeCell ref="D30:F30"/>
    <mergeCell ref="D36:F36"/>
    <mergeCell ref="M37:M44"/>
    <mergeCell ref="B39:F40"/>
    <mergeCell ref="E42:G42"/>
    <mergeCell ref="M22:M29"/>
    <mergeCell ref="B24:F25"/>
    <mergeCell ref="M6:M13"/>
    <mergeCell ref="D15:F15"/>
    <mergeCell ref="B8:F9"/>
    <mergeCell ref="A41:A42"/>
    <mergeCell ref="E2:F2"/>
    <mergeCell ref="E4:F4"/>
    <mergeCell ref="E3:F3"/>
    <mergeCell ref="D5:F5"/>
    <mergeCell ref="D21:F21"/>
    <mergeCell ref="A10:A11"/>
    <mergeCell ref="A26:A27"/>
    <mergeCell ref="E11:G11"/>
    <mergeCell ref="E27:G27"/>
  </mergeCells>
  <phoneticPr fontId="13" type="noConversion"/>
  <dataValidations count="5">
    <dataValidation type="list" allowBlank="1" showInputMessage="1" showErrorMessage="1" sqref="A12:A14 A29 A44">
      <formula1>$P$11:$P$21</formula1>
    </dataValidation>
    <dataValidation type="list" allowBlank="1" showInputMessage="1" showErrorMessage="1" sqref="J5 J21 J36">
      <formula1>$Q$1:$Q$2</formula1>
    </dataValidation>
    <dataValidation type="list" allowBlank="1" showInputMessage="1" showErrorMessage="1" sqref="B4">
      <formula1>$Z$1:$Z$2</formula1>
    </dataValidation>
    <dataValidation type="list" allowBlank="1" showErrorMessage="1" sqref="E3:F3">
      <formula1>$AA$1:$AA$3</formula1>
    </dataValidation>
    <dataValidation type="list" allowBlank="1" showInputMessage="1" showErrorMessage="1" sqref="E11:G11 E42:G42 E27:G27">
      <formula1>$T$10:$T$17</formula1>
    </dataValidation>
  </dataValidations>
  <pageMargins left="0.54" right="0.45" top="1" bottom="0.25" header="0.3" footer="0.3"/>
  <pageSetup scale="97" orientation="portrait" r:id="rId1"/>
  <headerFooter>
    <oddHeader>&amp;L&amp;D&amp;CVegetable Nutrient Management Planning Workbook&amp;R&amp;G</oddHeader>
  </headerFooter>
  <legacyDrawingHF r:id="rId2"/>
</worksheet>
</file>

<file path=xl/worksheets/sheet14.xml><?xml version="1.0" encoding="utf-8"?>
<worksheet xmlns="http://schemas.openxmlformats.org/spreadsheetml/2006/main" xmlns:r="http://schemas.openxmlformats.org/officeDocument/2006/relationships">
  <sheetPr codeName="Sheet11">
    <tabColor rgb="FF7030A0"/>
    <pageSetUpPr fitToPage="1"/>
  </sheetPr>
  <dimension ref="A1:DG440"/>
  <sheetViews>
    <sheetView showGridLines="0" showRowColHeaders="0" zoomScale="125" zoomScaleNormal="100" workbookViewId="0">
      <selection activeCell="B2" sqref="B2"/>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11" width="9.140625" style="7" hidden="1" customWidth="1"/>
  </cols>
  <sheetData>
    <row r="1" spans="1:111" s="12" customFormat="1" ht="17.25">
      <c r="A1" s="384" t="s">
        <v>66</v>
      </c>
      <c r="B1" s="385">
        <f>'Field Info'!A5</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Info'!C5</f>
        <v>0</v>
      </c>
      <c r="C2" s="12" t="s">
        <v>165</v>
      </c>
      <c r="E2" s="715"/>
      <c r="F2" s="716"/>
      <c r="G2" s="8">
        <f>'Soil Test Results'!B5</f>
        <v>0</v>
      </c>
      <c r="H2" s="10"/>
      <c r="I2" s="4" t="str">
        <f>'Soil Test Results'!C5</f>
        <v>low</v>
      </c>
      <c r="J2" s="6">
        <f>'Soil Test Results'!D5</f>
        <v>0</v>
      </c>
      <c r="K2" s="9">
        <f>'Soil Test Results'!E5</f>
        <v>0</v>
      </c>
      <c r="L2" s="8">
        <f>'Soil Test Results'!F5</f>
        <v>0</v>
      </c>
      <c r="M2" s="390">
        <f>'Soil Test Results'!G5</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Info'!N5</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M22:M29"/>
    <mergeCell ref="B24:F25"/>
    <mergeCell ref="D30:F30"/>
    <mergeCell ref="D36:F36"/>
    <mergeCell ref="A26:A27"/>
    <mergeCell ref="M6:M13"/>
    <mergeCell ref="E11:G11"/>
    <mergeCell ref="E27:G27"/>
    <mergeCell ref="B8:F9"/>
    <mergeCell ref="A10:A11"/>
    <mergeCell ref="D15:F15"/>
    <mergeCell ref="D21:F21"/>
    <mergeCell ref="M37:M44"/>
    <mergeCell ref="B39:F40"/>
    <mergeCell ref="A41:A42"/>
    <mergeCell ref="D45:F45"/>
    <mergeCell ref="E42:G42"/>
  </mergeCells>
  <phoneticPr fontId="13" type="noConversion"/>
  <dataValidations count="5">
    <dataValidation type="list" allowBlank="1" showErrorMessage="1" sqref="E3:F3">
      <formula1>$AA$1:$AA$3</formula1>
    </dataValidation>
    <dataValidation type="list" allowBlank="1" showInputMessage="1" showErrorMessage="1" sqref="B4">
      <formula1>$Z$1:$Z$2</formula1>
    </dataValidation>
    <dataValidation type="list" allowBlank="1" showInputMessage="1" showErrorMessage="1" sqref="J5 J36 J21">
      <formula1>$Q$1:$Q$2</formula1>
    </dataValidation>
    <dataValidation type="list" allowBlank="1" showInputMessage="1" showErrorMessage="1" sqref="A44 A12:A14 A29">
      <formula1>$P$11:$P$21</formula1>
    </dataValidation>
    <dataValidation type="list" allowBlank="1" showInputMessage="1" showErrorMessage="1" sqref="E42:G42 E11:G11 E27:G27">
      <formula1>$T$10:$T$17</formula1>
    </dataValidation>
  </dataValidations>
  <pageMargins left="0.54" right="0.45" top="1" bottom="0.25" header="0.3" footer="0.3"/>
  <pageSetup scale="97" orientation="portrait" r:id="rId1"/>
  <headerFooter>
    <oddHeader>&amp;L&amp;D&amp;CVegetable Nutrient Management Planning Workbook&amp;R&amp;G</oddHeader>
  </headerFooter>
  <legacyDrawingHF r:id="rId2"/>
</worksheet>
</file>

<file path=xl/worksheets/sheet15.xml><?xml version="1.0" encoding="utf-8"?>
<worksheet xmlns="http://schemas.openxmlformats.org/spreadsheetml/2006/main" xmlns:r="http://schemas.openxmlformats.org/officeDocument/2006/relationships">
  <sheetPr codeName="Sheet12">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Info'!A6</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Info'!C6</f>
        <v>0</v>
      </c>
      <c r="C2" s="12" t="s">
        <v>165</v>
      </c>
      <c r="E2" s="724"/>
      <c r="F2" s="725"/>
      <c r="G2" s="8">
        <f>'Soil Test Results'!B6</f>
        <v>0</v>
      </c>
      <c r="H2" s="10"/>
      <c r="I2" s="4" t="str">
        <f>'Soil Test Results'!C6</f>
        <v>low</v>
      </c>
      <c r="J2" s="6">
        <f>'Soil Test Results'!D6</f>
        <v>0</v>
      </c>
      <c r="K2" s="9">
        <f>'Soil Test Results'!E6</f>
        <v>0</v>
      </c>
      <c r="L2" s="8">
        <f>'Soil Test Results'!F6</f>
        <v>0</v>
      </c>
      <c r="M2" s="390">
        <f>'Soil Test Results'!G6</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26"/>
      <c r="F3" s="726"/>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Info'!N6</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InputMessage="1" showErrorMessage="1" sqref="J5 J36 J21">
      <formula1>$Q$1:$Q$2</formula1>
    </dataValidation>
    <dataValidation type="list" allowBlank="1" showInputMessage="1" showErrorMessage="1" sqref="B4">
      <formula1>$Z$1:$Z$2</formula1>
    </dataValidation>
    <dataValidation type="list" allowBlank="1" showErrorMessage="1" sqref="E3:F3">
      <formula1>$AA$1:$AA$3</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5" top="1" bottom="0.25" header="0.3" footer="0.3"/>
  <pageSetup scale="97" orientation="portrait" r:id="rId1"/>
  <headerFooter>
    <oddHeader>&amp;L&amp;D&amp;CVegetable Nutrient Management Planning Workbook&amp;R&amp;G</oddHeader>
  </headerFooter>
  <legacyDrawingHF r:id="rId2"/>
</worksheet>
</file>

<file path=xl/worksheets/sheet16.xml><?xml version="1.0" encoding="utf-8"?>
<worksheet xmlns="http://schemas.openxmlformats.org/spreadsheetml/2006/main" xmlns:r="http://schemas.openxmlformats.org/officeDocument/2006/relationships">
  <sheetPr codeName="Sheet13">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Info'!A7</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Info'!C7</f>
        <v>0</v>
      </c>
      <c r="C2" s="12" t="s">
        <v>165</v>
      </c>
      <c r="E2" s="715"/>
      <c r="F2" s="716"/>
      <c r="G2" s="8">
        <f>'Soil Test Results'!B7</f>
        <v>0</v>
      </c>
      <c r="H2" s="10"/>
      <c r="I2" s="4" t="str">
        <f>'Soil Test Results'!C7</f>
        <v>low</v>
      </c>
      <c r="J2" s="6">
        <f>'Soil Test Results'!D7</f>
        <v>0</v>
      </c>
      <c r="K2" s="9">
        <f>'Soil Test Results'!E7</f>
        <v>0</v>
      </c>
      <c r="L2" s="8">
        <f>'Soil Test Results'!F7</f>
        <v>0</v>
      </c>
      <c r="M2" s="390">
        <f>'Soil Test Results'!G7</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Info'!N7</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ErrorMessage="1" sqref="E3:F3">
      <formula1>$AA$1:$AA$3</formula1>
    </dataValidation>
    <dataValidation type="list" allowBlank="1" showInputMessage="1" showErrorMessage="1" sqref="B4">
      <formula1>$Z$1:$Z$2</formula1>
    </dataValidation>
    <dataValidation type="list" allowBlank="1" showInputMessage="1" showErrorMessage="1" sqref="J5 J36 J21">
      <formula1>$Q$1:$Q$2</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5" top="1" bottom="0.25" header="0.3" footer="0.3"/>
  <pageSetup scale="98" orientation="portrait" r:id="rId1"/>
  <headerFooter>
    <oddHeader>&amp;L&amp;D&amp;CVegetable Nutrient Management Planning Workbook&amp;R&amp;G</oddHeader>
  </headerFooter>
  <legacyDrawingHF r:id="rId2"/>
</worksheet>
</file>

<file path=xl/worksheets/sheet17.xml><?xml version="1.0" encoding="utf-8"?>
<worksheet xmlns="http://schemas.openxmlformats.org/spreadsheetml/2006/main" xmlns:r="http://schemas.openxmlformats.org/officeDocument/2006/relationships">
  <sheetPr codeName="Sheet14">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Info'!A8</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Info'!C8</f>
        <v>0</v>
      </c>
      <c r="C2" s="12" t="s">
        <v>165</v>
      </c>
      <c r="E2" s="715"/>
      <c r="F2" s="716"/>
      <c r="G2" s="8">
        <f>'Soil Test Results'!B8</f>
        <v>0</v>
      </c>
      <c r="H2" s="10"/>
      <c r="I2" s="4" t="str">
        <f>'Soil Test Results'!C8</f>
        <v>low</v>
      </c>
      <c r="J2" s="6">
        <f>'Soil Test Results'!D8</f>
        <v>0</v>
      </c>
      <c r="K2" s="9">
        <f>'Soil Test Results'!E8</f>
        <v>0</v>
      </c>
      <c r="L2" s="8">
        <f>'Soil Test Results'!F8</f>
        <v>0</v>
      </c>
      <c r="M2" s="390">
        <f>'Soil Test Results'!G8</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Info'!N8</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InputMessage="1" showErrorMessage="1" sqref="J5 J36 J21">
      <formula1>$Q$1:$Q$2</formula1>
    </dataValidation>
    <dataValidation type="list" allowBlank="1" showInputMessage="1" showErrorMessage="1" sqref="B4">
      <formula1>$Z$1:$Z$2</formula1>
    </dataValidation>
    <dataValidation type="list" allowBlank="1" showErrorMessage="1" sqref="E3:F3">
      <formula1>$AA$1:$AA$3</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5" top="1" bottom="0.25" header="0.3" footer="0.3"/>
  <pageSetup scale="98" orientation="portrait" r:id="rId1"/>
  <headerFooter>
    <oddHeader>&amp;L&amp;D&amp;CVegetable Nutrient Management Planning Workbook&amp;R&amp;G</oddHeader>
  </headerFooter>
  <legacyDrawingHF r:id="rId2"/>
</worksheet>
</file>

<file path=xl/worksheets/sheet18.xml><?xml version="1.0" encoding="utf-8"?>
<worksheet xmlns="http://schemas.openxmlformats.org/spreadsheetml/2006/main" xmlns:r="http://schemas.openxmlformats.org/officeDocument/2006/relationships">
  <sheetPr codeName="Sheet15">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Info'!A9</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Info'!C9</f>
        <v>0</v>
      </c>
      <c r="C2" s="12" t="s">
        <v>165</v>
      </c>
      <c r="E2" s="715"/>
      <c r="F2" s="716"/>
      <c r="G2" s="8">
        <f>'Soil Test Results'!B9</f>
        <v>0</v>
      </c>
      <c r="H2" s="10"/>
      <c r="I2" s="4" t="str">
        <f>'Soil Test Results'!C9</f>
        <v>low</v>
      </c>
      <c r="J2" s="6">
        <f>'Soil Test Results'!D9</f>
        <v>0</v>
      </c>
      <c r="K2" s="9">
        <f>'Soil Test Results'!E9</f>
        <v>0</v>
      </c>
      <c r="L2" s="8">
        <f>'Soil Test Results'!F9</f>
        <v>0</v>
      </c>
      <c r="M2" s="390">
        <f>'Soil Test Results'!G9</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Info'!N9</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ErrorMessage="1" sqref="E3:F3">
      <formula1>$AA$1:$AA$3</formula1>
    </dataValidation>
    <dataValidation type="list" allowBlank="1" showInputMessage="1" showErrorMessage="1" sqref="B4">
      <formula1>$Z$1:$Z$2</formula1>
    </dataValidation>
    <dataValidation type="list" allowBlank="1" showInputMessage="1" showErrorMessage="1" sqref="J5 J36 J21">
      <formula1>$Q$1:$Q$2</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5" top="1" bottom="0.25" header="0.3" footer="0.3"/>
  <pageSetup scale="98" orientation="portrait" r:id="rId1"/>
  <headerFooter>
    <oddHeader>&amp;L&amp;D&amp;CVegetable Nutrient Management Planning Workbook&amp;R&amp;G</oddHeader>
  </headerFooter>
  <legacyDrawingHF r:id="rId2"/>
</worksheet>
</file>

<file path=xl/worksheets/sheet19.xml><?xml version="1.0" encoding="utf-8"?>
<worksheet xmlns="http://schemas.openxmlformats.org/spreadsheetml/2006/main" xmlns:r="http://schemas.openxmlformats.org/officeDocument/2006/relationships">
  <sheetPr codeName="Sheet16">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Info'!A10</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Info'!C10</f>
        <v>0</v>
      </c>
      <c r="C2" s="12" t="s">
        <v>165</v>
      </c>
      <c r="E2" s="715"/>
      <c r="F2" s="716"/>
      <c r="G2" s="8">
        <f>'Soil Test Results'!B10</f>
        <v>0</v>
      </c>
      <c r="H2" s="10"/>
      <c r="I2" s="4" t="str">
        <f>'Soil Test Results'!C10</f>
        <v>low</v>
      </c>
      <c r="J2" s="6">
        <f>'Soil Test Results'!D10</f>
        <v>0</v>
      </c>
      <c r="K2" s="9">
        <f>'Soil Test Results'!E10</f>
        <v>0</v>
      </c>
      <c r="L2" s="8">
        <f>'Soil Test Results'!F10</f>
        <v>0</v>
      </c>
      <c r="M2" s="390">
        <f>'Soil Test Results'!G10</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Info'!N10</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InputMessage="1" showErrorMessage="1" sqref="J5 J36 J21">
      <formula1>$Q$1:$Q$2</formula1>
    </dataValidation>
    <dataValidation type="list" allowBlank="1" showInputMessage="1" showErrorMessage="1" sqref="B4">
      <formula1>$Z$1:$Z$2</formula1>
    </dataValidation>
    <dataValidation type="list" allowBlank="1" showErrorMessage="1" sqref="E3:F3">
      <formula1>$AA$1:$AA$3</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5" top="1" bottom="0.25" header="0.3" footer="0.3"/>
  <pageSetup scale="98" orientation="portrait" r:id="rId1"/>
  <headerFooter>
    <oddHeader>&amp;L&amp;D&amp;CVegetable Nutrient Management Planning Workbook&amp;R&amp;G</oddHeader>
  </headerFooter>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A1:I53"/>
  <sheetViews>
    <sheetView showGridLines="0" showRowColHeaders="0" workbookViewId="0">
      <selection activeCell="C27" sqref="C27"/>
    </sheetView>
  </sheetViews>
  <sheetFormatPr defaultColWidth="0" defaultRowHeight="12.75" zeroHeight="1"/>
  <cols>
    <col min="1" max="1" width="9.140625" style="215" customWidth="1"/>
    <col min="2" max="2" width="29.7109375" style="215" customWidth="1"/>
    <col min="3" max="3" width="54.7109375" style="268" customWidth="1"/>
    <col min="4" max="4" width="14.42578125" style="215" customWidth="1"/>
    <col min="5" max="7" width="9.140625" style="215" customWidth="1"/>
    <col min="8" max="16384" width="0" style="215" hidden="1"/>
  </cols>
  <sheetData>
    <row r="1" spans="2:3" ht="12.75" customHeight="1">
      <c r="B1" s="551" t="s">
        <v>731</v>
      </c>
      <c r="C1" s="552"/>
    </row>
    <row r="2" spans="2:3">
      <c r="B2" s="426"/>
      <c r="C2" s="427"/>
    </row>
    <row r="3" spans="2:3" ht="20.100000000000001" customHeight="1" thickBot="1">
      <c r="B3" s="553" t="s">
        <v>732</v>
      </c>
      <c r="C3" s="553"/>
    </row>
    <row r="4" spans="2:3" ht="13.5" thickBot="1">
      <c r="B4" s="428" t="s">
        <v>683</v>
      </c>
      <c r="C4" s="429" t="s">
        <v>733</v>
      </c>
    </row>
    <row r="5" spans="2:3" ht="26.25" thickBot="1">
      <c r="B5" s="428" t="s">
        <v>681</v>
      </c>
      <c r="C5" s="429" t="s">
        <v>734</v>
      </c>
    </row>
    <row r="6" spans="2:3" ht="26.25" thickBot="1">
      <c r="B6" s="430" t="s">
        <v>680</v>
      </c>
      <c r="C6" s="431" t="s">
        <v>735</v>
      </c>
    </row>
    <row r="7" spans="2:3" ht="26.25" thickBot="1">
      <c r="B7" s="430" t="s">
        <v>677</v>
      </c>
      <c r="C7" s="431" t="s">
        <v>736</v>
      </c>
    </row>
    <row r="8" spans="2:3" ht="0.95" customHeight="1">
      <c r="B8" s="432"/>
      <c r="C8" s="433"/>
    </row>
    <row r="9" spans="2:3" ht="30" customHeight="1">
      <c r="B9" s="554" t="s">
        <v>737</v>
      </c>
      <c r="C9" s="555"/>
    </row>
    <row r="10" spans="2:3">
      <c r="B10" s="432"/>
      <c r="C10" s="433"/>
    </row>
    <row r="11" spans="2:3">
      <c r="B11" s="221" t="s">
        <v>738</v>
      </c>
      <c r="C11" s="434"/>
    </row>
    <row r="12" spans="2:3" ht="51">
      <c r="B12" s="435" t="s">
        <v>739</v>
      </c>
      <c r="C12" s="436" t="s">
        <v>740</v>
      </c>
    </row>
    <row r="13" spans="2:3">
      <c r="B13" s="435" t="s">
        <v>741</v>
      </c>
      <c r="C13" s="437" t="s">
        <v>742</v>
      </c>
    </row>
    <row r="14" spans="2:3">
      <c r="B14" s="426"/>
      <c r="C14" s="438"/>
    </row>
    <row r="15" spans="2:3" ht="25.5" customHeight="1">
      <c r="B15" s="556" t="s">
        <v>743</v>
      </c>
      <c r="C15" s="556"/>
    </row>
    <row r="16" spans="2:3">
      <c r="B16" s="426"/>
      <c r="C16" s="439"/>
    </row>
    <row r="17" spans="1:3" ht="79.5" customHeight="1">
      <c r="B17" s="562" t="s">
        <v>744</v>
      </c>
      <c r="C17" s="562"/>
    </row>
    <row r="18" spans="1:3" ht="42.75" customHeight="1">
      <c r="B18" s="563" t="s">
        <v>745</v>
      </c>
      <c r="C18" s="563"/>
    </row>
    <row r="19" spans="1:3" ht="66" customHeight="1">
      <c r="B19" s="559" t="s">
        <v>746</v>
      </c>
      <c r="C19" s="559"/>
    </row>
    <row r="20" spans="1:3">
      <c r="C20" s="434"/>
    </row>
    <row r="21" spans="1:3" ht="12.75" customHeight="1">
      <c r="A21" s="560" t="s">
        <v>747</v>
      </c>
      <c r="B21" s="561"/>
      <c r="C21" s="561"/>
    </row>
    <row r="22" spans="1:3" ht="13.5" thickBot="1">
      <c r="A22" s="440" t="s">
        <v>748</v>
      </c>
      <c r="B22" s="441"/>
      <c r="C22" s="434"/>
    </row>
    <row r="23" spans="1:3" ht="51.75" thickBot="1">
      <c r="A23" s="327">
        <v>1</v>
      </c>
      <c r="B23" s="344" t="s">
        <v>675</v>
      </c>
      <c r="C23" s="442" t="s">
        <v>749</v>
      </c>
    </row>
    <row r="24" spans="1:3" ht="39" thickBot="1">
      <c r="A24" s="327">
        <v>2</v>
      </c>
      <c r="B24" s="344" t="s">
        <v>674</v>
      </c>
      <c r="C24" s="442" t="s">
        <v>750</v>
      </c>
    </row>
    <row r="25" spans="1:3" ht="26.25" thickBot="1">
      <c r="A25" s="334">
        <v>3</v>
      </c>
      <c r="B25" s="336" t="s">
        <v>673</v>
      </c>
      <c r="C25" s="443" t="s">
        <v>751</v>
      </c>
    </row>
    <row r="26" spans="1:3" ht="51.75" thickBot="1">
      <c r="A26" s="334">
        <v>4</v>
      </c>
      <c r="B26" s="336" t="s">
        <v>672</v>
      </c>
      <c r="C26" s="443" t="s">
        <v>752</v>
      </c>
    </row>
    <row r="27" spans="1:3" ht="39" thickBot="1">
      <c r="A27" s="343">
        <v>5</v>
      </c>
      <c r="B27" s="342" t="s">
        <v>779</v>
      </c>
      <c r="C27" s="550" t="s">
        <v>855</v>
      </c>
    </row>
    <row r="28" spans="1:3" ht="26.25" thickBot="1">
      <c r="A28" s="343">
        <v>6</v>
      </c>
      <c r="B28" s="342" t="s">
        <v>787</v>
      </c>
      <c r="C28" s="444" t="s">
        <v>854</v>
      </c>
    </row>
    <row r="29" spans="1:3" ht="26.25" thickBot="1">
      <c r="A29" s="343">
        <v>7</v>
      </c>
      <c r="B29" s="342" t="s">
        <v>785</v>
      </c>
      <c r="C29" s="444" t="s">
        <v>849</v>
      </c>
    </row>
    <row r="30" spans="1:3" ht="26.25" thickBot="1">
      <c r="A30" s="343">
        <v>8</v>
      </c>
      <c r="B30" s="342" t="s">
        <v>786</v>
      </c>
      <c r="C30" s="444" t="s">
        <v>850</v>
      </c>
    </row>
    <row r="31" spans="1:3" ht="64.5" thickBot="1">
      <c r="A31" s="343"/>
      <c r="B31" s="342" t="s">
        <v>846</v>
      </c>
      <c r="C31" s="550" t="s">
        <v>856</v>
      </c>
    </row>
    <row r="32" spans="1:3" ht="39" thickBot="1">
      <c r="A32" s="327">
        <v>9</v>
      </c>
      <c r="B32" s="344" t="s">
        <v>780</v>
      </c>
      <c r="C32" s="550" t="s">
        <v>855</v>
      </c>
    </row>
    <row r="33" spans="1:3" ht="26.25" thickBot="1">
      <c r="A33" s="327">
        <v>10</v>
      </c>
      <c r="B33" s="344" t="s">
        <v>788</v>
      </c>
      <c r="C33" s="442" t="s">
        <v>851</v>
      </c>
    </row>
    <row r="34" spans="1:3" ht="26.25" thickBot="1">
      <c r="A34" s="327">
        <v>11</v>
      </c>
      <c r="B34" s="344" t="s">
        <v>784</v>
      </c>
      <c r="C34" s="442" t="s">
        <v>852</v>
      </c>
    </row>
    <row r="35" spans="1:3" ht="26.25" thickBot="1">
      <c r="A35" s="327">
        <v>12</v>
      </c>
      <c r="B35" s="344" t="s">
        <v>783</v>
      </c>
      <c r="C35" s="442" t="s">
        <v>853</v>
      </c>
    </row>
    <row r="36" spans="1:3" ht="64.5" thickBot="1">
      <c r="A36" s="343">
        <v>13</v>
      </c>
      <c r="B36" s="342" t="s">
        <v>847</v>
      </c>
      <c r="C36" s="550" t="s">
        <v>856</v>
      </c>
    </row>
    <row r="37" spans="1:3" ht="13.5" thickBot="1">
      <c r="A37" s="340">
        <v>14</v>
      </c>
      <c r="B37" s="338" t="s">
        <v>665</v>
      </c>
      <c r="C37" s="445" t="s">
        <v>753</v>
      </c>
    </row>
    <row r="38" spans="1:3" ht="26.25" thickBot="1">
      <c r="A38" s="340">
        <v>15</v>
      </c>
      <c r="B38" s="338" t="s">
        <v>663</v>
      </c>
      <c r="C38" s="445" t="s">
        <v>754</v>
      </c>
    </row>
    <row r="39" spans="1:3" ht="77.25" thickBot="1">
      <c r="A39" s="334">
        <v>16</v>
      </c>
      <c r="B39" s="336" t="s">
        <v>662</v>
      </c>
      <c r="C39" s="443" t="s">
        <v>755</v>
      </c>
    </row>
    <row r="40" spans="1:3" ht="64.5" thickBot="1">
      <c r="A40" s="446">
        <v>17</v>
      </c>
      <c r="B40" s="336" t="s">
        <v>756</v>
      </c>
      <c r="C40" s="447" t="s">
        <v>757</v>
      </c>
    </row>
    <row r="41" spans="1:3" ht="51.75" thickBot="1">
      <c r="A41" s="327">
        <v>18</v>
      </c>
      <c r="B41" s="344" t="s">
        <v>758</v>
      </c>
      <c r="C41" s="442" t="s">
        <v>759</v>
      </c>
    </row>
    <row r="42" spans="1:3" ht="77.25" thickBot="1">
      <c r="A42" s="327">
        <v>19</v>
      </c>
      <c r="B42" s="344" t="s">
        <v>658</v>
      </c>
      <c r="C42" s="453" t="s">
        <v>764</v>
      </c>
    </row>
    <row r="43" spans="1:3" ht="90" thickBot="1">
      <c r="A43" s="327">
        <v>20</v>
      </c>
      <c r="B43" s="344" t="s">
        <v>657</v>
      </c>
      <c r="C43" s="442" t="s">
        <v>760</v>
      </c>
    </row>
    <row r="44" spans="1:3" ht="153.75" thickBot="1">
      <c r="A44" s="327">
        <v>21</v>
      </c>
      <c r="B44" s="344" t="s">
        <v>656</v>
      </c>
      <c r="C44" s="442" t="s">
        <v>761</v>
      </c>
    </row>
    <row r="45" spans="1:3" ht="39" thickBot="1">
      <c r="A45" s="327">
        <v>22</v>
      </c>
      <c r="B45" s="344" t="s">
        <v>655</v>
      </c>
      <c r="C45" s="442" t="s">
        <v>762</v>
      </c>
    </row>
    <row r="46" spans="1:3" ht="102.75" thickBot="1">
      <c r="A46" s="327">
        <v>23</v>
      </c>
      <c r="B46" s="326" t="s">
        <v>653</v>
      </c>
      <c r="C46" s="442" t="s">
        <v>763</v>
      </c>
    </row>
    <row r="47" spans="1:3"/>
    <row r="48" spans="1:3"/>
    <row r="49" spans="3:9" ht="46.5" customHeight="1">
      <c r="C49" s="451" t="s">
        <v>7</v>
      </c>
      <c r="D49" s="452" t="s">
        <v>688</v>
      </c>
      <c r="E49" s="451" t="s">
        <v>689</v>
      </c>
      <c r="F49" s="407"/>
      <c r="G49" s="12"/>
      <c r="H49" s="12"/>
      <c r="I49" s="12"/>
    </row>
    <row r="50" spans="3:9" ht="38.25" customHeight="1">
      <c r="C50" s="449" t="s">
        <v>690</v>
      </c>
      <c r="D50" s="449" t="s">
        <v>507</v>
      </c>
      <c r="E50" s="557" t="s">
        <v>691</v>
      </c>
      <c r="F50" s="558"/>
      <c r="G50" s="558"/>
      <c r="H50" s="12"/>
      <c r="I50" s="12"/>
    </row>
    <row r="51" spans="3:9" ht="50.25" customHeight="1">
      <c r="C51" s="450" t="s">
        <v>692</v>
      </c>
      <c r="D51" s="449" t="s">
        <v>506</v>
      </c>
      <c r="E51" s="448"/>
      <c r="F51" s="12"/>
      <c r="G51" s="12"/>
      <c r="H51" s="12"/>
      <c r="I51" s="12"/>
    </row>
    <row r="52" spans="3:9" ht="43.5" customHeight="1">
      <c r="C52" s="450" t="s">
        <v>693</v>
      </c>
      <c r="D52" s="449" t="s">
        <v>505</v>
      </c>
      <c r="E52" s="557" t="s">
        <v>694</v>
      </c>
      <c r="F52" s="558"/>
      <c r="G52" s="558"/>
      <c r="H52" s="12"/>
      <c r="I52" s="12"/>
    </row>
    <row r="53" spans="3:9" ht="22.5" customHeight="1">
      <c r="C53" s="450" t="s">
        <v>695</v>
      </c>
      <c r="D53" s="449" t="s">
        <v>504</v>
      </c>
      <c r="E53" s="12"/>
      <c r="F53" s="12"/>
      <c r="G53" s="12"/>
      <c r="H53" s="12"/>
      <c r="I53" s="12"/>
    </row>
  </sheetData>
  <sheetProtection sheet="1" objects="1" scenarios="1"/>
  <mergeCells count="10">
    <mergeCell ref="E52:G52"/>
    <mergeCell ref="B19:C19"/>
    <mergeCell ref="A21:C21"/>
    <mergeCell ref="B17:C17"/>
    <mergeCell ref="B18:C18"/>
    <mergeCell ref="B1:C1"/>
    <mergeCell ref="B3:C3"/>
    <mergeCell ref="B9:C9"/>
    <mergeCell ref="B15:C15"/>
    <mergeCell ref="E50:G50"/>
  </mergeCells>
  <phoneticPr fontId="13" type="noConversion"/>
  <dataValidations count="2">
    <dataValidation allowBlank="1" showInputMessage="1" showErrorMessage="1" sqref="B24"/>
    <dataValidation type="list" allowBlank="1" showInputMessage="1" showErrorMessage="1" sqref="C12">
      <formula1>$C$12</formula1>
    </dataValidation>
  </dataValidations>
  <pageMargins left="0.75" right="0.75" top="1" bottom="1" header="0.5" footer="0.5"/>
  <pageSetup scale="65" fitToHeight="5" orientation="portrait" r:id="rId1"/>
  <headerFooter alignWithMargins="0">
    <oddHeader>&amp;L&amp;D&amp;CVegetable Nutrient Management Planning Workbook&amp;R&amp;G</oddHeader>
  </headerFooter>
  <legacyDrawing r:id="rId2"/>
  <legacyDrawingHF r:id="rId3"/>
</worksheet>
</file>

<file path=xl/worksheets/sheet20.xml><?xml version="1.0" encoding="utf-8"?>
<worksheet xmlns="http://schemas.openxmlformats.org/spreadsheetml/2006/main" xmlns:r="http://schemas.openxmlformats.org/officeDocument/2006/relationships">
  <sheetPr codeName="Sheet17">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Info'!A11</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Info'!C11</f>
        <v>0</v>
      </c>
      <c r="C2" s="12" t="s">
        <v>165</v>
      </c>
      <c r="E2" s="715"/>
      <c r="F2" s="716"/>
      <c r="G2" s="8">
        <f>'Soil Test Results'!B11</f>
        <v>0</v>
      </c>
      <c r="H2" s="10"/>
      <c r="I2" s="4" t="str">
        <f>'Soil Test Results'!C11</f>
        <v>low</v>
      </c>
      <c r="J2" s="6">
        <f>'Soil Test Results'!D11</f>
        <v>0</v>
      </c>
      <c r="K2" s="9">
        <f>'Soil Test Results'!E11</f>
        <v>0</v>
      </c>
      <c r="L2" s="8">
        <f>'Soil Test Results'!F11</f>
        <v>0</v>
      </c>
      <c r="M2" s="390">
        <f>'Soil Test Results'!G11</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Info'!N11</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ErrorMessage="1" sqref="E3:F3">
      <formula1>$AA$1:$AA$3</formula1>
    </dataValidation>
    <dataValidation type="list" allowBlank="1" showInputMessage="1" showErrorMessage="1" sqref="B4">
      <formula1>$Z$1:$Z$2</formula1>
    </dataValidation>
    <dataValidation type="list" allowBlank="1" showInputMessage="1" showErrorMessage="1" sqref="J5 J36 J21">
      <formula1>$Q$1:$Q$2</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5" top="1" bottom="0.25" header="0.3" footer="0.3"/>
  <pageSetup scale="98" orientation="portrait" r:id="rId1"/>
  <headerFooter>
    <oddHeader>&amp;L&amp;D&amp;CVegetable Nutrient Management Planning Workbook&amp;R&amp;G</oddHeader>
  </headerFooter>
  <legacyDrawingHF r:id="rId2"/>
</worksheet>
</file>

<file path=xl/worksheets/sheet21.xml><?xml version="1.0" encoding="utf-8"?>
<worksheet xmlns="http://schemas.openxmlformats.org/spreadsheetml/2006/main" xmlns:r="http://schemas.openxmlformats.org/officeDocument/2006/relationships">
  <sheetPr codeName="Sheet18">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Info'!A12</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Info'!C12</f>
        <v>0</v>
      </c>
      <c r="C2" s="12" t="s">
        <v>165</v>
      </c>
      <c r="E2" s="715"/>
      <c r="F2" s="716"/>
      <c r="G2" s="8">
        <f>'Soil Test Results'!B12</f>
        <v>0</v>
      </c>
      <c r="H2" s="10"/>
      <c r="I2" s="4" t="str">
        <f>'Soil Test Results'!C12</f>
        <v>low</v>
      </c>
      <c r="J2" s="6">
        <f>'Soil Test Results'!D12</f>
        <v>0</v>
      </c>
      <c r="K2" s="9">
        <f>'Soil Test Results'!E12</f>
        <v>0</v>
      </c>
      <c r="L2" s="8">
        <f>'Soil Test Results'!F12</f>
        <v>0</v>
      </c>
      <c r="M2" s="390">
        <f>'Soil Test Results'!G12</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Info'!N12</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InputMessage="1" showErrorMessage="1" sqref="J5 J36 J21">
      <formula1>$Q$1:$Q$2</formula1>
    </dataValidation>
    <dataValidation type="list" allowBlank="1" showInputMessage="1" showErrorMessage="1" sqref="B4">
      <formula1>$Z$1:$Z$2</formula1>
    </dataValidation>
    <dataValidation type="list" allowBlank="1" showErrorMessage="1" sqref="E3:F3">
      <formula1>$AA$1:$AA$3</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4999999999999996" top="1" bottom="0.25" header="0.3" footer="0.3"/>
  <pageSetup scale="98" orientation="portrait" r:id="rId1"/>
  <headerFooter>
    <oddHeader>&amp;L&amp;D&amp;CVegetable Nutrient Management Planning Workbook&amp;R&amp;G</oddHeader>
  </headerFooter>
  <legacyDrawingHF r:id="rId2"/>
</worksheet>
</file>

<file path=xl/worksheets/sheet22.xml><?xml version="1.0" encoding="utf-8"?>
<worksheet xmlns="http://schemas.openxmlformats.org/spreadsheetml/2006/main" xmlns:r="http://schemas.openxmlformats.org/officeDocument/2006/relationships">
  <sheetPr codeName="Sheet19">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Info'!A13</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Info'!C13</f>
        <v>0</v>
      </c>
      <c r="C2" s="12" t="s">
        <v>165</v>
      </c>
      <c r="E2" s="715"/>
      <c r="F2" s="716"/>
      <c r="G2" s="8">
        <f>'Soil Test Results'!B13</f>
        <v>0</v>
      </c>
      <c r="H2" s="10"/>
      <c r="I2" s="4" t="str">
        <f>'Soil Test Results'!C13</f>
        <v>low</v>
      </c>
      <c r="J2" s="6">
        <f>'Soil Test Results'!D13</f>
        <v>0</v>
      </c>
      <c r="K2" s="9">
        <f>'Soil Test Results'!E13</f>
        <v>0</v>
      </c>
      <c r="L2" s="8">
        <f>'Soil Test Results'!F13</f>
        <v>0</v>
      </c>
      <c r="M2" s="390">
        <f>'Soil Test Results'!G13</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Info'!N13</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ErrorMessage="1" sqref="E3:F3">
      <formula1>$AA$1:$AA$3</formula1>
    </dataValidation>
    <dataValidation type="list" allowBlank="1" showInputMessage="1" showErrorMessage="1" sqref="B4">
      <formula1>$Z$1:$Z$2</formula1>
    </dataValidation>
    <dataValidation type="list" allowBlank="1" showInputMessage="1" showErrorMessage="1" sqref="J5 J36 J21">
      <formula1>$Q$1:$Q$2</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4999999999999996" top="1" bottom="0.25" header="0.3" footer="0.3"/>
  <pageSetup scale="98" orientation="portrait" r:id="rId1"/>
  <headerFooter>
    <oddHeader>&amp;L&amp;D&amp;CVegetable Nutrient Management Planning Workbook&amp;R&amp;G</oddHeader>
  </headerFooter>
  <legacyDrawingHF r:id="rId2"/>
</worksheet>
</file>

<file path=xl/worksheets/sheet23.xml><?xml version="1.0" encoding="utf-8"?>
<worksheet xmlns="http://schemas.openxmlformats.org/spreadsheetml/2006/main" xmlns:r="http://schemas.openxmlformats.org/officeDocument/2006/relationships">
  <sheetPr codeName="Sheet20">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Info'!A14</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Info'!C14</f>
        <v>0</v>
      </c>
      <c r="C2" s="12" t="s">
        <v>165</v>
      </c>
      <c r="E2" s="715"/>
      <c r="F2" s="716"/>
      <c r="G2" s="8">
        <f>'Soil Test Results'!B14</f>
        <v>0</v>
      </c>
      <c r="H2" s="10"/>
      <c r="I2" s="4" t="str">
        <f>'Soil Test Results'!C14</f>
        <v>low</v>
      </c>
      <c r="J2" s="6">
        <f>'Soil Test Results'!D14</f>
        <v>0</v>
      </c>
      <c r="K2" s="9">
        <f>'Soil Test Results'!E14</f>
        <v>0</v>
      </c>
      <c r="L2" s="8">
        <f>'Soil Test Results'!F14</f>
        <v>0</v>
      </c>
      <c r="M2" s="390">
        <f>'Soil Test Results'!G14</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Info'!N14</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InputMessage="1" showErrorMessage="1" sqref="J5 J36 J21">
      <formula1>$Q$1:$Q$2</formula1>
    </dataValidation>
    <dataValidation type="list" allowBlank="1" showInputMessage="1" showErrorMessage="1" sqref="B4">
      <formula1>$Z$1:$Z$2</formula1>
    </dataValidation>
    <dataValidation type="list" allowBlank="1" showErrorMessage="1" sqref="E3:F3">
      <formula1>$AA$1:$AA$3</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4999999999999996" top="1" bottom="0.25" header="0.3" footer="0.3"/>
  <pageSetup scale="98" orientation="portrait" r:id="rId1"/>
  <headerFooter>
    <oddHeader>&amp;L&amp;D&amp;CVegetable Nutrient Management Planning Workbook&amp;R&amp;G</oddHeader>
  </headerFooter>
  <legacyDrawingHF r:id="rId2"/>
</worksheet>
</file>

<file path=xl/worksheets/sheet24.xml><?xml version="1.0" encoding="utf-8"?>
<worksheet xmlns="http://schemas.openxmlformats.org/spreadsheetml/2006/main" xmlns:r="http://schemas.openxmlformats.org/officeDocument/2006/relationships">
  <sheetPr codeName="Sheet21">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Info'!A15</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Info'!C15</f>
        <v>0</v>
      </c>
      <c r="C2" s="12" t="s">
        <v>165</v>
      </c>
      <c r="E2" s="715"/>
      <c r="F2" s="716"/>
      <c r="G2" s="8">
        <f>'Soil Test Results'!B15</f>
        <v>0</v>
      </c>
      <c r="H2" s="10"/>
      <c r="I2" s="4" t="str">
        <f>'Soil Test Results'!C15</f>
        <v>low</v>
      </c>
      <c r="J2" s="6">
        <f>'Soil Test Results'!D15</f>
        <v>0</v>
      </c>
      <c r="K2" s="9">
        <f>'Soil Test Results'!E15</f>
        <v>0</v>
      </c>
      <c r="L2" s="8">
        <f>'Soil Test Results'!F15</f>
        <v>0</v>
      </c>
      <c r="M2" s="390">
        <f>'Soil Test Results'!G15</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Info'!N15</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ErrorMessage="1" sqref="E3:F3">
      <formula1>$AA$1:$AA$3</formula1>
    </dataValidation>
    <dataValidation type="list" allowBlank="1" showInputMessage="1" showErrorMessage="1" sqref="B4">
      <formula1>$Z$1:$Z$2</formula1>
    </dataValidation>
    <dataValidation type="list" allowBlank="1" showInputMessage="1" showErrorMessage="1" sqref="J5 J36 J21">
      <formula1>$Q$1:$Q$2</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4999999999999996" top="1" bottom="0.25" header="0.3" footer="0.3"/>
  <pageSetup scale="98" orientation="portrait" r:id="rId1"/>
  <headerFooter>
    <oddHeader>&amp;L&amp;D&amp;CVegetable Nutrient Management Planning Workbook&amp;R&amp;G</oddHeader>
  </headerFooter>
  <legacyDrawingHF r:id="rId2"/>
</worksheet>
</file>

<file path=xl/worksheets/sheet25.xml><?xml version="1.0" encoding="utf-8"?>
<worksheet xmlns="http://schemas.openxmlformats.org/spreadsheetml/2006/main" xmlns:r="http://schemas.openxmlformats.org/officeDocument/2006/relationships">
  <sheetPr codeName="Sheet22">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Info'!A16</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Info'!C16</f>
        <v>0</v>
      </c>
      <c r="C2" s="12" t="s">
        <v>165</v>
      </c>
      <c r="E2" s="715"/>
      <c r="F2" s="716"/>
      <c r="G2" s="8">
        <f>'Soil Test Results'!B16</f>
        <v>0</v>
      </c>
      <c r="H2" s="10"/>
      <c r="I2" s="4" t="str">
        <f>'Soil Test Results'!C16</f>
        <v>low</v>
      </c>
      <c r="J2" s="6">
        <f>'Soil Test Results'!D16</f>
        <v>0</v>
      </c>
      <c r="K2" s="9">
        <f>'Soil Test Results'!E16</f>
        <v>0</v>
      </c>
      <c r="L2" s="8">
        <f>'Soil Test Results'!F16</f>
        <v>0</v>
      </c>
      <c r="M2" s="390">
        <f>'Soil Test Results'!G16</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Info'!N16</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InputMessage="1" showErrorMessage="1" sqref="J5 J36 J21">
      <formula1>$Q$1:$Q$2</formula1>
    </dataValidation>
    <dataValidation type="list" allowBlank="1" showInputMessage="1" showErrorMessage="1" sqref="B4">
      <formula1>$Z$1:$Z$2</formula1>
    </dataValidation>
    <dataValidation type="list" allowBlank="1" showErrorMessage="1" sqref="E3:F3">
      <formula1>$AA$1:$AA$3</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4999999999999996" top="1" bottom="0.25" header="0.3" footer="0.3"/>
  <pageSetup orientation="portrait" r:id="rId1"/>
  <headerFooter>
    <oddHeader>&amp;L&amp;D&amp;CVegetable Nutrient Management Planning Workbook&amp;R&amp;G</oddHeader>
  </headerFooter>
  <legacyDrawingHF r:id="rId2"/>
</worksheet>
</file>

<file path=xl/worksheets/sheet26.xml><?xml version="1.0" encoding="utf-8"?>
<worksheet xmlns="http://schemas.openxmlformats.org/spreadsheetml/2006/main" xmlns:r="http://schemas.openxmlformats.org/officeDocument/2006/relationships">
  <sheetPr codeName="Sheet23">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Info'!A17</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Info'!C17</f>
        <v>0</v>
      </c>
      <c r="C2" s="12" t="s">
        <v>165</v>
      </c>
      <c r="E2" s="724"/>
      <c r="F2" s="725"/>
      <c r="G2" s="8">
        <f>'Soil Test Results'!B17</f>
        <v>0</v>
      </c>
      <c r="H2" s="10"/>
      <c r="I2" s="4" t="str">
        <f>'Soil Test Results'!C17</f>
        <v>low</v>
      </c>
      <c r="J2" s="6">
        <f>'Soil Test Results'!D17</f>
        <v>0</v>
      </c>
      <c r="K2" s="9">
        <f>'Soil Test Results'!E17</f>
        <v>0</v>
      </c>
      <c r="L2" s="8">
        <f>'Soil Test Results'!F17</f>
        <v>0</v>
      </c>
      <c r="M2" s="390">
        <f>'Soil Test Results'!G17</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26"/>
      <c r="F3" s="726"/>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Info'!N17</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9"/>
      <c r="C5" s="20"/>
      <c r="D5" s="719" t="s">
        <v>18</v>
      </c>
      <c r="E5" s="719"/>
      <c r="F5" s="719"/>
      <c r="G5" s="21"/>
      <c r="H5" s="20" t="s">
        <v>15</v>
      </c>
      <c r="I5" s="22"/>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ErrorMessage="1" sqref="E3:F3">
      <formula1>$AA$1:$AA$3</formula1>
    </dataValidation>
    <dataValidation type="list" allowBlank="1" showInputMessage="1" showErrorMessage="1" sqref="B4">
      <formula1>$Z$1:$Z$2</formula1>
    </dataValidation>
    <dataValidation type="list" allowBlank="1" showInputMessage="1" showErrorMessage="1" sqref="J5 J36 J21">
      <formula1>$Q$1:$Q$2</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4999999999999996" top="1" bottom="0.25" header="0.3" footer="0.3"/>
  <pageSetup orientation="portrait" r:id="rId1"/>
  <headerFooter>
    <oddHeader>&amp;L&amp;D&amp;CVegetable Nutrient Management Planning Workbook&amp;R&amp;G</oddHeader>
  </headerFooter>
  <legacyDrawingHF r:id="rId2"/>
</worksheet>
</file>

<file path=xl/worksheets/sheet27.xml><?xml version="1.0" encoding="utf-8"?>
<worksheet xmlns="http://schemas.openxmlformats.org/spreadsheetml/2006/main" xmlns:r="http://schemas.openxmlformats.org/officeDocument/2006/relationships">
  <sheetPr codeName="Sheet24">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Info'!A18</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Info'!C18</f>
        <v>0</v>
      </c>
      <c r="C2" s="12" t="s">
        <v>165</v>
      </c>
      <c r="E2" s="715"/>
      <c r="F2" s="716"/>
      <c r="G2" s="8">
        <f>'Soil Test Results'!B18</f>
        <v>0</v>
      </c>
      <c r="H2" s="10"/>
      <c r="I2" s="4" t="str">
        <f>'Soil Test Results'!C18</f>
        <v>low</v>
      </c>
      <c r="J2" s="6">
        <f>'Soil Test Results'!D18</f>
        <v>0</v>
      </c>
      <c r="K2" s="9">
        <f>'Soil Test Results'!E18</f>
        <v>0</v>
      </c>
      <c r="L2" s="8">
        <f>'Soil Test Results'!F18</f>
        <v>0</v>
      </c>
      <c r="M2" s="390">
        <f>'Soil Test Results'!G18</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Info'!N18</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InputMessage="1" showErrorMessage="1" sqref="J5 J36 J21">
      <formula1>$Q$1:$Q$2</formula1>
    </dataValidation>
    <dataValidation type="list" allowBlank="1" showInputMessage="1" showErrorMessage="1" sqref="B4">
      <formula1>$Z$1:$Z$2</formula1>
    </dataValidation>
    <dataValidation type="list" allowBlank="1" showErrorMessage="1" sqref="E3:F3">
      <formula1>$AA$1:$AA$3</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4999999999999996" top="1" bottom="0.25" header="0.3" footer="0.3"/>
  <pageSetup orientation="portrait" r:id="rId1"/>
  <headerFooter>
    <oddHeader>&amp;L&amp;D&amp;CVegetable Nutrient Management Planning Workbook&amp;R&amp;G</oddHeader>
  </headerFooter>
  <legacyDrawingHF r:id="rId2"/>
</worksheet>
</file>

<file path=xl/worksheets/sheet28.xml><?xml version="1.0" encoding="utf-8"?>
<worksheet xmlns="http://schemas.openxmlformats.org/spreadsheetml/2006/main" xmlns:r="http://schemas.openxmlformats.org/officeDocument/2006/relationships">
  <sheetPr codeName="Sheet25">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Info'!A19</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Info'!C19</f>
        <v>0</v>
      </c>
      <c r="C2" s="12" t="s">
        <v>165</v>
      </c>
      <c r="E2" s="715"/>
      <c r="F2" s="716"/>
      <c r="G2" s="8">
        <f>'Soil Test Results'!B19</f>
        <v>0</v>
      </c>
      <c r="H2" s="10"/>
      <c r="I2" s="4" t="str">
        <f>'Soil Test Results'!C19</f>
        <v>low</v>
      </c>
      <c r="J2" s="6">
        <f>'Soil Test Results'!D19</f>
        <v>0</v>
      </c>
      <c r="K2" s="9">
        <f>'Soil Test Results'!E19</f>
        <v>0</v>
      </c>
      <c r="L2" s="8">
        <f>'Soil Test Results'!F19</f>
        <v>0</v>
      </c>
      <c r="M2" s="390">
        <f>'Soil Test Results'!G19</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Info'!N19</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ErrorMessage="1" sqref="E3:F3">
      <formula1>$AA$1:$AA$3</formula1>
    </dataValidation>
    <dataValidation type="list" allowBlank="1" showInputMessage="1" showErrorMessage="1" sqref="B4">
      <formula1>$Z$1:$Z$2</formula1>
    </dataValidation>
    <dataValidation type="list" allowBlank="1" showInputMessage="1" showErrorMessage="1" sqref="J5 J36 J21">
      <formula1>$Q$1:$Q$2</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4999999999999996" top="1" bottom="0.25" header="0.3" footer="0.3"/>
  <pageSetup scale="98" orientation="portrait" r:id="rId1"/>
  <headerFooter>
    <oddHeader>&amp;L&amp;D&amp;CVegetable Nutrient Management Planning Workbook&amp;R&amp;G</oddHeader>
  </headerFooter>
  <legacyDrawingHF r:id="rId2"/>
</worksheet>
</file>

<file path=xl/worksheets/sheet29.xml><?xml version="1.0" encoding="utf-8"?>
<worksheet xmlns="http://schemas.openxmlformats.org/spreadsheetml/2006/main" xmlns:r="http://schemas.openxmlformats.org/officeDocument/2006/relationships">
  <sheetPr codeName="Sheet26">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Info'!A20</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Info'!C20</f>
        <v>0</v>
      </c>
      <c r="C2" s="12" t="s">
        <v>165</v>
      </c>
      <c r="E2" s="715"/>
      <c r="F2" s="716"/>
      <c r="G2" s="8">
        <f>'Soil Test Results'!B20</f>
        <v>0</v>
      </c>
      <c r="H2" s="10"/>
      <c r="I2" s="4" t="str">
        <f>'Soil Test Results'!C20</f>
        <v>low</v>
      </c>
      <c r="J2" s="6">
        <f>'Soil Test Results'!D20</f>
        <v>0</v>
      </c>
      <c r="K2" s="9">
        <f>'Soil Test Results'!E20</f>
        <v>0</v>
      </c>
      <c r="L2" s="8">
        <f>'Soil Test Results'!F20</f>
        <v>0</v>
      </c>
      <c r="M2" s="390">
        <f>'Soil Test Results'!G20</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Info'!N20</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InputMessage="1" showErrorMessage="1" sqref="J5 J36 J21">
      <formula1>$Q$1:$Q$2</formula1>
    </dataValidation>
    <dataValidation type="list" allowBlank="1" showInputMessage="1" showErrorMessage="1" sqref="B4">
      <formula1>$Z$1:$Z$2</formula1>
    </dataValidation>
    <dataValidation type="list" allowBlank="1" showErrorMessage="1" sqref="E3:F3">
      <formula1>$AA$1:$AA$3</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4999999999999996" top="1" bottom="0.25" header="0.3" footer="0.3"/>
  <pageSetup orientation="portrait" r:id="rId1"/>
  <headerFooter>
    <oddHeader>&amp;L&amp;D&amp;CVegetable Nutrient Management Planning Workbook&amp;R&amp;G</oddHeader>
  </headerFooter>
  <legacyDrawingHF r:id="rId2"/>
</worksheet>
</file>

<file path=xl/worksheets/sheet3.xml><?xml version="1.0" encoding="utf-8"?>
<worksheet xmlns="http://schemas.openxmlformats.org/spreadsheetml/2006/main" xmlns:r="http://schemas.openxmlformats.org/officeDocument/2006/relationships">
  <dimension ref="A1:H40"/>
  <sheetViews>
    <sheetView showGridLines="0" showRowColHeaders="0" workbookViewId="0">
      <selection sqref="A1:H2"/>
    </sheetView>
  </sheetViews>
  <sheetFormatPr defaultColWidth="0" defaultRowHeight="15" customHeight="1" zeroHeight="1"/>
  <cols>
    <col min="1" max="1" width="9.42578125" style="459" customWidth="1"/>
    <col min="2" max="2" width="5.85546875" style="459" customWidth="1"/>
    <col min="3" max="8" width="12.7109375" style="459" customWidth="1"/>
    <col min="9" max="16384" width="0" style="459" hidden="1"/>
  </cols>
  <sheetData>
    <row r="1" spans="1:8">
      <c r="A1" s="564" t="s">
        <v>772</v>
      </c>
      <c r="B1" s="565"/>
      <c r="C1" s="565"/>
      <c r="D1" s="565"/>
      <c r="E1" s="565"/>
      <c r="F1" s="565"/>
      <c r="G1" s="565"/>
      <c r="H1" s="565"/>
    </row>
    <row r="2" spans="1:8">
      <c r="A2" s="565"/>
      <c r="B2" s="565"/>
      <c r="C2" s="565"/>
      <c r="D2" s="565"/>
      <c r="E2" s="565"/>
      <c r="F2" s="565"/>
      <c r="G2" s="565"/>
      <c r="H2" s="565"/>
    </row>
    <row r="3" spans="1:8"/>
    <row r="4" spans="1:8"/>
    <row r="5" spans="1:8"/>
    <row r="6" spans="1:8"/>
    <row r="7" spans="1:8">
      <c r="B7" s="460"/>
    </row>
    <row r="8" spans="1:8"/>
    <row r="9" spans="1:8"/>
    <row r="10" spans="1:8"/>
    <row r="11" spans="1:8">
      <c r="B11" s="459" t="s">
        <v>773</v>
      </c>
    </row>
    <row r="12" spans="1:8"/>
    <row r="13" spans="1:8">
      <c r="C13" s="459" t="s">
        <v>774</v>
      </c>
    </row>
    <row r="14" spans="1:8">
      <c r="C14" s="459" t="s">
        <v>775</v>
      </c>
    </row>
    <row r="15" spans="1:8">
      <c r="C15" s="459" t="s">
        <v>776</v>
      </c>
    </row>
    <row r="16" spans="1:8">
      <c r="C16" s="459" t="s">
        <v>777</v>
      </c>
    </row>
    <row r="17" spans="2:3">
      <c r="C17" s="459" t="s">
        <v>778</v>
      </c>
    </row>
    <row r="18" spans="2:3"/>
    <row r="19" spans="2:3"/>
    <row r="20" spans="2:3">
      <c r="B20" s="493" t="s">
        <v>839</v>
      </c>
    </row>
    <row r="21" spans="2:3"/>
    <row r="22" spans="2:3"/>
    <row r="23" spans="2:3"/>
    <row r="24" spans="2:3"/>
    <row r="25" spans="2:3"/>
    <row r="26" spans="2:3"/>
    <row r="27" spans="2:3"/>
    <row r="28" spans="2:3"/>
    <row r="29" spans="2:3"/>
    <row r="30" spans="2:3"/>
    <row r="31" spans="2:3"/>
    <row r="32" spans="2:3"/>
    <row r="33" spans="7:7"/>
    <row r="34" spans="7:7"/>
    <row r="35" spans="7:7"/>
    <row r="36" spans="7:7"/>
    <row r="37" spans="7:7"/>
    <row r="38" spans="7:7"/>
    <row r="39" spans="7:7">
      <c r="G39" s="461" t="s">
        <v>857</v>
      </c>
    </row>
    <row r="40" spans="7:7"/>
  </sheetData>
  <sheetProtection sheet="1" selectLockedCells="1" selectUnlockedCells="1"/>
  <mergeCells count="1">
    <mergeCell ref="A1:H2"/>
  </mergeCells>
  <phoneticPr fontId="13" type="noConversion"/>
  <pageMargins left="0.7" right="0.7" top="0.75" bottom="0.75" header="0.3" footer="0.3"/>
  <pageSetup orientation="portrait" verticalDpi="0" r:id="rId1"/>
  <drawing r:id="rId2"/>
</worksheet>
</file>

<file path=xl/worksheets/sheet30.xml><?xml version="1.0" encoding="utf-8"?>
<worksheet xmlns="http://schemas.openxmlformats.org/spreadsheetml/2006/main" xmlns:r="http://schemas.openxmlformats.org/officeDocument/2006/relationships">
  <sheetPr codeName="Sheet27">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Info'!A21</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Info'!C21</f>
        <v>0</v>
      </c>
      <c r="C2" s="12" t="s">
        <v>165</v>
      </c>
      <c r="E2" s="715"/>
      <c r="F2" s="716"/>
      <c r="G2" s="8">
        <f>'Soil Test Results'!B21</f>
        <v>0</v>
      </c>
      <c r="H2" s="10"/>
      <c r="I2" s="4" t="str">
        <f>'Soil Test Results'!C21</f>
        <v>low</v>
      </c>
      <c r="J2" s="6">
        <f>'Soil Test Results'!D21</f>
        <v>0</v>
      </c>
      <c r="K2" s="9">
        <f>'Soil Test Results'!E21</f>
        <v>0</v>
      </c>
      <c r="L2" s="8">
        <f>'Soil Test Results'!F21</f>
        <v>0</v>
      </c>
      <c r="M2" s="390">
        <f>'Soil Test Results'!G21</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Info'!N21</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ErrorMessage="1" sqref="E3:F3">
      <formula1>$AA$1:$AA$3</formula1>
    </dataValidation>
    <dataValidation type="list" allowBlank="1" showInputMessage="1" showErrorMessage="1" sqref="B4">
      <formula1>$Z$1:$Z$2</formula1>
    </dataValidation>
    <dataValidation type="list" allowBlank="1" showInputMessage="1" showErrorMessage="1" sqref="J5 J36 J21">
      <formula1>$Q$1:$Q$2</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4999999999999996" top="1" bottom="0.25" header="0.3" footer="0.3"/>
  <pageSetup orientation="portrait" r:id="rId1"/>
  <headerFooter>
    <oddHeader>&amp;L&amp;D&amp;CVegetable Nutrient Management Planning Workbook&amp;R&amp;G</oddHeader>
  </headerFooter>
  <legacyDrawingHF r:id="rId2"/>
</worksheet>
</file>

<file path=xl/worksheets/sheet31.xml><?xml version="1.0" encoding="utf-8"?>
<worksheet xmlns="http://schemas.openxmlformats.org/spreadsheetml/2006/main" xmlns:r="http://schemas.openxmlformats.org/officeDocument/2006/relationships">
  <sheetPr codeName="Sheet28">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Info'!A22</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Info'!C22</f>
        <v>0</v>
      </c>
      <c r="C2" s="12" t="s">
        <v>165</v>
      </c>
      <c r="E2" s="715"/>
      <c r="F2" s="716"/>
      <c r="G2" s="8">
        <f>'Soil Test Results'!B22</f>
        <v>0</v>
      </c>
      <c r="H2" s="10"/>
      <c r="I2" s="4" t="str">
        <f>'Soil Test Results'!C22</f>
        <v>low</v>
      </c>
      <c r="J2" s="6">
        <f>'Soil Test Results'!D22</f>
        <v>0</v>
      </c>
      <c r="K2" s="9">
        <f>'Soil Test Results'!E22</f>
        <v>0</v>
      </c>
      <c r="L2" s="8">
        <f>'Soil Test Results'!F22</f>
        <v>0</v>
      </c>
      <c r="M2" s="390">
        <f>'Soil Test Results'!G22</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Info'!N22</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1.25"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6.7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InputMessage="1" showErrorMessage="1" sqref="J5 J36 J21">
      <formula1>$Q$1:$Q$2</formula1>
    </dataValidation>
    <dataValidation type="list" allowBlank="1" showInputMessage="1" showErrorMessage="1" sqref="B4">
      <formula1>$Z$1:$Z$2</formula1>
    </dataValidation>
    <dataValidation type="list" allowBlank="1" showErrorMessage="1" sqref="E3:F3">
      <formula1>$AA$1:$AA$3</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4999999999999996" top="1" bottom="0.25" header="0.3" footer="0.3"/>
  <pageSetup orientation="portrait" r:id="rId1"/>
  <headerFooter>
    <oddHeader>&amp;L&amp;D&amp;CVegetable Nutrient Management Planning Workbook&amp;R&amp;G</oddHeader>
  </headerFooter>
  <legacyDrawingHF r:id="rId2"/>
</worksheet>
</file>

<file path=xl/worksheets/sheet32.xml><?xml version="1.0" encoding="utf-8"?>
<worksheet xmlns="http://schemas.openxmlformats.org/spreadsheetml/2006/main" xmlns:r="http://schemas.openxmlformats.org/officeDocument/2006/relationships">
  <sheetPr codeName="Sheet29">
    <tabColor rgb="FF7030A0"/>
    <pageSetUpPr fitToPage="1"/>
  </sheetPr>
  <dimension ref="A1:DG440"/>
  <sheetViews>
    <sheetView showGridLines="0" showRowColHeaders="0" zoomScale="125" zoomScaleNormal="100" workbookViewId="0">
      <selection activeCell="B3" sqref="B3"/>
    </sheetView>
  </sheetViews>
  <sheetFormatPr defaultColWidth="0" defaultRowHeight="15" zeroHeight="1"/>
  <cols>
    <col min="1" max="1" width="15.85546875" customWidth="1"/>
    <col min="2" max="2" width="15.28515625" customWidth="1"/>
    <col min="3" max="3" width="6.85546875" customWidth="1"/>
    <col min="4" max="4" width="3.7109375" customWidth="1"/>
    <col min="5" max="5" width="3.5703125" customWidth="1"/>
    <col min="6" max="6" width="4" customWidth="1"/>
    <col min="7" max="12" width="5.7109375" customWidth="1"/>
    <col min="13" max="13" width="7.140625" style="15" customWidth="1"/>
    <col min="14" max="15" width="9.140625" style="7" hidden="1" customWidth="1"/>
    <col min="16" max="20" width="0" style="7" hidden="1" customWidth="1"/>
    <col min="21" max="111" width="9.140625" style="7" hidden="1" customWidth="1"/>
  </cols>
  <sheetData>
    <row r="1" spans="1:111" s="12" customFormat="1" ht="17.25">
      <c r="A1" s="384" t="s">
        <v>66</v>
      </c>
      <c r="B1" s="385">
        <f>'Field Info'!A23</f>
        <v>0</v>
      </c>
      <c r="C1" s="386" t="s">
        <v>12</v>
      </c>
      <c r="D1" s="103"/>
      <c r="E1" s="103"/>
      <c r="F1" s="103"/>
      <c r="G1" s="386" t="s">
        <v>8</v>
      </c>
      <c r="H1" s="386" t="s">
        <v>1</v>
      </c>
      <c r="I1" s="386" t="s">
        <v>2</v>
      </c>
      <c r="J1" s="386" t="s">
        <v>3</v>
      </c>
      <c r="K1" s="386" t="s">
        <v>5</v>
      </c>
      <c r="L1" s="387" t="s">
        <v>4</v>
      </c>
      <c r="M1" s="388" t="s">
        <v>28</v>
      </c>
      <c r="N1" s="25"/>
      <c r="O1" s="25"/>
      <c r="P1" s="25" t="s">
        <v>27</v>
      </c>
      <c r="Q1" s="30" t="s">
        <v>17</v>
      </c>
      <c r="R1" s="25"/>
      <c r="S1" s="25"/>
      <c r="T1" s="25" t="s">
        <v>19</v>
      </c>
      <c r="U1" s="25"/>
      <c r="V1" s="25"/>
      <c r="W1" s="25"/>
      <c r="X1" s="25"/>
      <c r="Y1" s="25"/>
      <c r="Z1" s="60" t="s">
        <v>156</v>
      </c>
      <c r="AA1" s="57" t="s">
        <v>162</v>
      </c>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12" customFormat="1">
      <c r="A2" s="389" t="s">
        <v>71</v>
      </c>
      <c r="B2" s="213">
        <f>'Field Info'!C23</f>
        <v>0</v>
      </c>
      <c r="C2" s="12" t="s">
        <v>165</v>
      </c>
      <c r="E2" s="715"/>
      <c r="F2" s="716"/>
      <c r="G2" s="8">
        <f>'Soil Test Results'!B23</f>
        <v>0</v>
      </c>
      <c r="H2" s="10"/>
      <c r="I2" s="4" t="str">
        <f>'Soil Test Results'!C23</f>
        <v>low</v>
      </c>
      <c r="J2" s="6">
        <f>'Soil Test Results'!D23</f>
        <v>0</v>
      </c>
      <c r="K2" s="9">
        <f>'Soil Test Results'!E23</f>
        <v>0</v>
      </c>
      <c r="L2" s="8">
        <f>'Soil Test Results'!F23</f>
        <v>0</v>
      </c>
      <c r="M2" s="390">
        <f>'Soil Test Results'!G23</f>
        <v>0</v>
      </c>
      <c r="N2" s="25"/>
      <c r="O2" s="25"/>
      <c r="P2" s="25" t="s">
        <v>9</v>
      </c>
      <c r="Q2" s="25" t="s">
        <v>11</v>
      </c>
      <c r="R2" s="25"/>
      <c r="S2" s="25"/>
      <c r="T2" s="25" t="s">
        <v>20</v>
      </c>
      <c r="U2" s="25"/>
      <c r="V2" s="25"/>
      <c r="W2" s="25"/>
      <c r="X2" s="25"/>
      <c r="Y2" s="25"/>
      <c r="Z2" s="60" t="s">
        <v>157</v>
      </c>
      <c r="AA2" s="57" t="s">
        <v>163</v>
      </c>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12" customFormat="1">
      <c r="A3" s="391" t="s">
        <v>159</v>
      </c>
      <c r="B3" s="212"/>
      <c r="C3" s="12" t="s">
        <v>161</v>
      </c>
      <c r="E3" s="718"/>
      <c r="F3" s="718"/>
      <c r="G3" s="29"/>
      <c r="H3" s="29"/>
      <c r="I3" s="29"/>
      <c r="J3" s="29"/>
      <c r="K3" s="29"/>
      <c r="L3" s="29"/>
      <c r="M3" s="67"/>
      <c r="N3" s="25"/>
      <c r="O3" s="25"/>
      <c r="P3" s="25"/>
      <c r="Q3" s="25"/>
      <c r="R3" s="25"/>
      <c r="S3" s="25"/>
      <c r="T3" s="25"/>
      <c r="U3" s="25"/>
      <c r="V3" s="25"/>
      <c r="W3" s="25"/>
      <c r="X3" s="25"/>
      <c r="Y3" s="25"/>
      <c r="Z3" s="25"/>
      <c r="AA3" s="57" t="s">
        <v>164</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row>
    <row r="4" spans="1:111" s="12" customFormat="1" ht="15.75" thickBot="1">
      <c r="A4" s="392" t="s">
        <v>158</v>
      </c>
      <c r="B4" s="214"/>
      <c r="C4" s="12" t="s">
        <v>703</v>
      </c>
      <c r="D4" s="11"/>
      <c r="E4" s="717" t="str">
        <f>'Field Info'!N23</f>
        <v/>
      </c>
      <c r="F4" s="717"/>
      <c r="G4" s="11"/>
      <c r="H4" s="11"/>
      <c r="I4" s="11"/>
      <c r="J4" s="11"/>
      <c r="K4" s="11"/>
      <c r="L4" s="11"/>
      <c r="M4" s="393"/>
      <c r="N4" s="25"/>
      <c r="O4" s="25"/>
      <c r="P4" s="25"/>
      <c r="Q4" s="25"/>
      <c r="R4" s="25"/>
      <c r="S4" s="25" t="s">
        <v>21</v>
      </c>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row>
    <row r="5" spans="1:111" s="12" customFormat="1">
      <c r="A5" s="394" t="s">
        <v>7</v>
      </c>
      <c r="B5" s="122"/>
      <c r="C5" s="20"/>
      <c r="D5" s="719" t="s">
        <v>18</v>
      </c>
      <c r="E5" s="719"/>
      <c r="F5" s="719"/>
      <c r="G5" s="123"/>
      <c r="H5" s="20" t="s">
        <v>15</v>
      </c>
      <c r="I5" s="124"/>
      <c r="J5" s="23" t="s">
        <v>11</v>
      </c>
      <c r="K5" s="20" t="s">
        <v>26</v>
      </c>
      <c r="L5" s="20"/>
      <c r="M5" s="395"/>
      <c r="N5" s="25"/>
      <c r="O5" s="25"/>
      <c r="P5" s="25"/>
      <c r="Q5" s="25"/>
      <c r="R5" s="25"/>
      <c r="S5" s="25" t="s">
        <v>22</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row>
    <row r="6" spans="1:111" s="12" customFormat="1" ht="14.45" customHeight="1">
      <c r="A6" s="389"/>
      <c r="G6" s="24" t="s">
        <v>13</v>
      </c>
      <c r="H6" s="24" t="s">
        <v>1</v>
      </c>
      <c r="I6" s="24" t="s">
        <v>75</v>
      </c>
      <c r="J6" s="24" t="s">
        <v>23</v>
      </c>
      <c r="K6" s="37"/>
      <c r="L6" s="37"/>
      <c r="M6" s="720" t="s">
        <v>56</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row>
    <row r="7" spans="1:111" s="12" customFormat="1" ht="14.45" customHeight="1">
      <c r="A7" s="389"/>
      <c r="G7" s="35" t="s">
        <v>73</v>
      </c>
      <c r="H7" s="35" t="s">
        <v>74</v>
      </c>
      <c r="I7" s="35" t="s">
        <v>74</v>
      </c>
      <c r="J7" s="35" t="s">
        <v>74</v>
      </c>
      <c r="K7" s="37"/>
      <c r="L7" s="51"/>
      <c r="M7" s="720"/>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row>
    <row r="8" spans="1:111" s="12" customFormat="1" ht="14.45" customHeight="1">
      <c r="A8" s="391" t="s">
        <v>88</v>
      </c>
      <c r="B8" s="721" t="s">
        <v>87</v>
      </c>
      <c r="C8" s="722"/>
      <c r="D8" s="722"/>
      <c r="E8" s="722"/>
      <c r="F8" s="722"/>
      <c r="G8" s="125"/>
      <c r="H8" s="126"/>
      <c r="I8" s="127"/>
      <c r="J8" s="128"/>
      <c r="K8" s="129"/>
      <c r="L8" s="125"/>
      <c r="M8" s="720"/>
      <c r="N8" s="25" t="s">
        <v>67</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12" customFormat="1" ht="10.9" customHeight="1">
      <c r="A9" s="389"/>
      <c r="B9" s="722"/>
      <c r="C9" s="722"/>
      <c r="D9" s="722"/>
      <c r="E9" s="722"/>
      <c r="F9" s="722"/>
      <c r="M9" s="720"/>
      <c r="N9" s="25"/>
      <c r="O9" s="25"/>
      <c r="P9" s="25" t="s">
        <v>811</v>
      </c>
      <c r="Q9" s="25"/>
      <c r="R9" s="25"/>
      <c r="S9" s="25"/>
      <c r="T9" s="25" t="s">
        <v>30</v>
      </c>
      <c r="U9" s="25"/>
      <c r="V9" s="25" t="s">
        <v>43</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12" customFormat="1" ht="14.45" customHeight="1">
      <c r="A10" s="714" t="s">
        <v>24</v>
      </c>
      <c r="B10" s="64"/>
      <c r="C10" s="29"/>
      <c r="D10" s="29"/>
      <c r="E10" s="29"/>
      <c r="F10" s="29"/>
      <c r="G10" s="29"/>
      <c r="H10" s="65"/>
      <c r="I10" s="29"/>
      <c r="J10" s="29"/>
      <c r="K10" s="29"/>
      <c r="L10" s="29"/>
      <c r="M10" s="720"/>
      <c r="N10" s="25"/>
      <c r="O10" s="25"/>
      <c r="Q10" s="476" t="s">
        <v>1</v>
      </c>
      <c r="R10" s="476" t="s">
        <v>2</v>
      </c>
      <c r="S10" s="476"/>
      <c r="T10" s="12" t="s">
        <v>814</v>
      </c>
      <c r="V10" s="12">
        <v>0</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s="12" customFormat="1" ht="14.45" customHeight="1">
      <c r="A11" s="714"/>
      <c r="B11" s="24" t="s">
        <v>14</v>
      </c>
      <c r="E11" s="718" t="s">
        <v>814</v>
      </c>
      <c r="F11" s="718"/>
      <c r="G11" s="716"/>
      <c r="H11" s="477">
        <f>VLOOKUP(E11,$T$10:$V$17,3,)</f>
        <v>0</v>
      </c>
      <c r="I11" s="130"/>
      <c r="J11" s="130"/>
      <c r="K11" s="25"/>
      <c r="M11" s="720"/>
      <c r="N11" s="25"/>
      <c r="O11" s="25"/>
      <c r="P11" s="25" t="str">
        <f>'Amend calc'!Q3</f>
        <v>Dairy manure</v>
      </c>
      <c r="Q11" s="472">
        <f>'Amend calc'!R3</f>
        <v>0.5</v>
      </c>
      <c r="R11" s="472">
        <f>'Amend calc'!S3</f>
        <v>1</v>
      </c>
      <c r="S11" s="25"/>
      <c r="T11" s="25" t="s">
        <v>40</v>
      </c>
      <c r="U11" s="25"/>
      <c r="V11" s="25">
        <v>20</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row>
    <row r="12" spans="1:111" s="12" customFormat="1" ht="14.45" customHeight="1">
      <c r="A12" s="181" t="s">
        <v>497</v>
      </c>
      <c r="B12" s="462" t="s">
        <v>808</v>
      </c>
      <c r="E12" s="104"/>
      <c r="F12" s="104"/>
      <c r="G12" s="104"/>
      <c r="H12" s="126"/>
      <c r="I12" s="127"/>
      <c r="J12" s="128"/>
      <c r="K12" s="25"/>
      <c r="M12" s="720"/>
      <c r="N12" s="25"/>
      <c r="O12" s="25"/>
      <c r="P12" s="25" t="str">
        <f>'Amend calc'!Q4</f>
        <v>Blood meal</v>
      </c>
      <c r="Q12" s="472">
        <f>'Amend calc'!R4</f>
        <v>0.63</v>
      </c>
      <c r="R12" s="472">
        <f>'Amend calc'!S4</f>
        <v>0.10919540229885062</v>
      </c>
      <c r="S12" s="25"/>
      <c r="T12" s="25" t="s">
        <v>151</v>
      </c>
      <c r="U12" s="25"/>
      <c r="V12" s="25">
        <v>40</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row>
    <row r="13" spans="1:111" s="12" customFormat="1" ht="14.45" customHeight="1">
      <c r="A13" s="538" t="s">
        <v>497</v>
      </c>
      <c r="B13" s="462" t="s">
        <v>812</v>
      </c>
      <c r="E13" s="104"/>
      <c r="F13" s="104"/>
      <c r="G13" s="104"/>
      <c r="H13" s="126"/>
      <c r="I13" s="127"/>
      <c r="J13" s="128"/>
      <c r="K13" s="25"/>
      <c r="M13" s="720"/>
      <c r="N13" s="25"/>
      <c r="O13" s="25"/>
      <c r="P13" s="25" t="str">
        <f>'Amend calc'!Q5</f>
        <v>Canola meal</v>
      </c>
      <c r="Q13" s="472">
        <f>'Amend calc'!R5</f>
        <v>0.6</v>
      </c>
      <c r="R13" s="472">
        <f>'Amend calc'!S5</f>
        <v>0.12923775153105863</v>
      </c>
      <c r="S13" s="25"/>
      <c r="T13" s="25" t="s">
        <v>152</v>
      </c>
      <c r="U13" s="25"/>
      <c r="V13" s="25">
        <v>60</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row>
    <row r="14" spans="1:111" s="12" customFormat="1" ht="14.45" customHeight="1">
      <c r="A14" s="475" t="s">
        <v>497</v>
      </c>
      <c r="B14" s="462" t="s">
        <v>807</v>
      </c>
      <c r="E14" s="104"/>
      <c r="F14" s="104"/>
      <c r="G14" s="104"/>
      <c r="H14" s="126"/>
      <c r="I14" s="127"/>
      <c r="J14" s="128"/>
      <c r="K14" s="25"/>
      <c r="M14" s="458"/>
      <c r="N14" s="25"/>
      <c r="O14" s="25"/>
      <c r="P14" s="25" t="str">
        <f>'Amend calc'!Q6</f>
        <v>Chilean</v>
      </c>
      <c r="Q14" s="472">
        <f>'Amend calc'!R6</f>
        <v>1</v>
      </c>
      <c r="R14" s="472">
        <f>'Amend calc'!S6</f>
        <v>0</v>
      </c>
      <c r="S14" s="25"/>
      <c r="T14" s="25" t="s">
        <v>150</v>
      </c>
      <c r="U14" s="25"/>
      <c r="V14" s="25">
        <v>60</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row>
    <row r="15" spans="1:111" s="12" customFormat="1" ht="15" customHeight="1">
      <c r="A15" s="396" t="s">
        <v>80</v>
      </c>
      <c r="B15" s="36"/>
      <c r="C15" s="36" t="str">
        <f>IF(J5="sq ft","lb/1000 sq ft","lb/ac")</f>
        <v>lb/ac</v>
      </c>
      <c r="D15" s="723" t="s">
        <v>16</v>
      </c>
      <c r="E15" s="723"/>
      <c r="F15" s="723"/>
      <c r="G15" s="12" t="s">
        <v>25</v>
      </c>
      <c r="H15" s="25"/>
      <c r="I15" s="25"/>
      <c r="J15" s="25"/>
      <c r="K15" s="25"/>
      <c r="M15" s="66"/>
      <c r="N15" s="25"/>
      <c r="O15" s="25"/>
      <c r="P15" s="25" t="str">
        <f>'Amend calc'!Q7</f>
        <v>Giroux's</v>
      </c>
      <c r="Q15" s="472">
        <f>'Amend calc'!R7</f>
        <v>0.4</v>
      </c>
      <c r="R15" s="472">
        <f>'Amend calc'!S7</f>
        <v>0.46662669864108719</v>
      </c>
      <c r="S15" s="25"/>
      <c r="T15" s="25" t="s">
        <v>153</v>
      </c>
      <c r="U15" s="25"/>
      <c r="V15" s="25">
        <v>100</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row>
    <row r="16" spans="1:111" s="12" customFormat="1">
      <c r="A16" s="404" t="s">
        <v>84</v>
      </c>
      <c r="B16" s="131"/>
      <c r="C16" s="104"/>
      <c r="D16" s="132"/>
      <c r="E16" s="132"/>
      <c r="F16" s="132"/>
      <c r="G16" s="8"/>
      <c r="H16" s="3">
        <f>C16*D16/100</f>
        <v>0</v>
      </c>
      <c r="I16" s="53">
        <f>C16*E16/100</f>
        <v>0</v>
      </c>
      <c r="J16" s="6">
        <f>C16*F16/100</f>
        <v>0</v>
      </c>
      <c r="K16" s="9"/>
      <c r="L16" s="8"/>
      <c r="M16" s="67"/>
      <c r="N16" s="25"/>
      <c r="O16" s="25"/>
      <c r="P16" s="25" t="str">
        <f>'Amend calc'!Q8</f>
        <v>Kreher's</v>
      </c>
      <c r="Q16" s="472">
        <f>'Amend calc'!R8</f>
        <v>1</v>
      </c>
      <c r="R16" s="472">
        <f>'Amend calc'!S8</f>
        <v>0.28645833333333337</v>
      </c>
      <c r="S16" s="25"/>
      <c r="T16" s="25" t="s">
        <v>41</v>
      </c>
      <c r="U16" s="25"/>
      <c r="V16" s="25">
        <v>30</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row>
    <row r="17" spans="1:111" s="12" customFormat="1">
      <c r="A17" s="405" t="s">
        <v>81</v>
      </c>
      <c r="B17" s="131"/>
      <c r="C17" s="104"/>
      <c r="D17" s="132"/>
      <c r="E17" s="132"/>
      <c r="F17" s="132"/>
      <c r="G17" s="8"/>
      <c r="H17" s="3">
        <f>C17*D17/100</f>
        <v>0</v>
      </c>
      <c r="I17" s="53">
        <f>C17*E17/100</f>
        <v>0</v>
      </c>
      <c r="J17" s="6">
        <f>C17*F17/100</f>
        <v>0</v>
      </c>
      <c r="K17" s="9"/>
      <c r="L17" s="8"/>
      <c r="M17" s="67"/>
      <c r="N17" s="25"/>
      <c r="O17" s="25"/>
      <c r="P17" s="25" t="str">
        <f>'Amend calc'!Q9</f>
        <v>Pro-gro</v>
      </c>
      <c r="Q17" s="472">
        <f>'Amend calc'!R9</f>
        <v>1</v>
      </c>
      <c r="R17" s="472">
        <f>'Amend calc'!S9</f>
        <v>7.4751580849141838E-2</v>
      </c>
      <c r="S17" s="25"/>
      <c r="T17" s="25" t="s">
        <v>42</v>
      </c>
      <c r="U17" s="25"/>
      <c r="V17" s="25">
        <v>40</v>
      </c>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row>
    <row r="18" spans="1:111" s="12" customFormat="1">
      <c r="A18" s="405" t="s">
        <v>83</v>
      </c>
      <c r="B18" s="104"/>
      <c r="C18" s="104"/>
      <c r="D18" s="132"/>
      <c r="E18" s="132"/>
      <c r="F18" s="132"/>
      <c r="G18" s="8"/>
      <c r="H18" s="3">
        <f>C18*D18/100</f>
        <v>0</v>
      </c>
      <c r="I18" s="53">
        <f>C18*E18/100</f>
        <v>0</v>
      </c>
      <c r="J18" s="6">
        <f>C18*F18/100</f>
        <v>0</v>
      </c>
      <c r="K18" s="9"/>
      <c r="L18" s="8"/>
      <c r="M18" s="67"/>
      <c r="N18" s="25"/>
      <c r="O18" s="25"/>
      <c r="P18" s="25" t="str">
        <f>'Amend calc'!Q10</f>
        <v>Soy meal</v>
      </c>
      <c r="Q18" s="472">
        <f>'Amend calc'!R10</f>
        <v>0.68</v>
      </c>
      <c r="R18" s="472">
        <f>'Amend calc'!S10</f>
        <v>7.2478728728728778E-2</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row>
    <row r="19" spans="1:111" s="12" customFormat="1" ht="15.75" thickBot="1">
      <c r="A19" s="405" t="s">
        <v>82</v>
      </c>
      <c r="B19" s="133"/>
      <c r="C19" s="104"/>
      <c r="D19" s="132"/>
      <c r="E19" s="132"/>
      <c r="F19" s="132"/>
      <c r="G19" s="14"/>
      <c r="H19" s="3">
        <f>C19*D19/100</f>
        <v>0</v>
      </c>
      <c r="I19" s="53">
        <f>C19*E19/100</f>
        <v>0</v>
      </c>
      <c r="J19" s="6">
        <f>C19*F19/100</f>
        <v>0</v>
      </c>
      <c r="K19" s="13"/>
      <c r="L19" s="14"/>
      <c r="M19" s="67"/>
      <c r="N19" s="25"/>
      <c r="O19" s="25"/>
      <c r="P19" s="25" t="str">
        <f>'Amend calc'!Q11</f>
        <v>Sunflower meal</v>
      </c>
      <c r="Q19" s="472">
        <f>'Amend calc'!R11</f>
        <v>0.6</v>
      </c>
      <c r="R19" s="472">
        <f>'Amend calc'!S11</f>
        <v>0.11189727463312366</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row>
    <row r="20" spans="1:111" s="12" customFormat="1" ht="16.5" thickTop="1" thickBot="1">
      <c r="A20" s="399" t="s">
        <v>89</v>
      </c>
      <c r="B20" s="11"/>
      <c r="C20" s="11"/>
      <c r="D20" s="11"/>
      <c r="E20" s="11"/>
      <c r="F20" s="11"/>
      <c r="G20" s="26">
        <f>G8-(SUM(G16:G19))</f>
        <v>0</v>
      </c>
      <c r="H20" s="27">
        <f>H8-H10-H11-H12*Q27-H13*Q28-H14*Q29-H16-H17-H18-H19</f>
        <v>0</v>
      </c>
      <c r="I20" s="28">
        <f>I8-I10-I11-I12*R27-I13*R28-I14*R29-I16-I17-I18-I19</f>
        <v>0</v>
      </c>
      <c r="J20" s="52">
        <f>J8-J10-J11-J12-J13-J14-J16-J17-J18-J19</f>
        <v>0</v>
      </c>
      <c r="K20" s="27">
        <f>K8-K10-K11-K12-K13-K14-K16-K17-K18-K19</f>
        <v>0</v>
      </c>
      <c r="L20" s="68">
        <f>L8-L10-L11-L12-L13-L14-L16-L17-L18-L19</f>
        <v>0</v>
      </c>
      <c r="M20" s="69"/>
      <c r="N20" s="25"/>
      <c r="O20" s="25"/>
      <c r="P20" s="25" t="str">
        <f>'Amend calc'!Q12</f>
        <v>Compost</v>
      </c>
      <c r="Q20" s="472">
        <f>'Amend calc'!R12</f>
        <v>0.5</v>
      </c>
      <c r="R20" s="472">
        <f>'Amend calc'!S12</f>
        <v>0.75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row>
    <row r="21" spans="1:111" s="12" customFormat="1">
      <c r="A21" s="400" t="s">
        <v>7</v>
      </c>
      <c r="B21" s="122"/>
      <c r="C21" s="20"/>
      <c r="D21" s="719" t="s">
        <v>18</v>
      </c>
      <c r="E21" s="719"/>
      <c r="F21" s="719"/>
      <c r="G21" s="123"/>
      <c r="H21" s="20" t="s">
        <v>15</v>
      </c>
      <c r="I21" s="124"/>
      <c r="J21" s="23" t="s">
        <v>11</v>
      </c>
      <c r="K21" s="20" t="s">
        <v>26</v>
      </c>
      <c r="L21" s="20"/>
      <c r="M21" s="67"/>
      <c r="N21" s="25"/>
      <c r="O21" s="25"/>
      <c r="P21" s="25" t="str">
        <f>'Amend calc'!Q13</f>
        <v>Other</v>
      </c>
      <c r="Q21" s="472">
        <f>'Amend calc'!R13</f>
        <v>1</v>
      </c>
      <c r="R21" s="472">
        <f>'Amend calc'!S13</f>
        <v>1</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row>
    <row r="22" spans="1:111" s="12" customFormat="1" ht="14.45" customHeight="1">
      <c r="A22" s="389"/>
      <c r="G22" s="24" t="s">
        <v>13</v>
      </c>
      <c r="H22" s="24" t="s">
        <v>1</v>
      </c>
      <c r="I22" s="24" t="s">
        <v>75</v>
      </c>
      <c r="J22" s="24" t="s">
        <v>23</v>
      </c>
      <c r="K22" s="37"/>
      <c r="L22" s="37"/>
      <c r="M22" s="720" t="s">
        <v>6</v>
      </c>
      <c r="N22" s="25"/>
      <c r="O22" s="25"/>
      <c r="P22" s="25">
        <v>0</v>
      </c>
      <c r="Q22" s="472">
        <v>1</v>
      </c>
      <c r="R22" s="472">
        <v>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row>
    <row r="23" spans="1:111" s="12" customFormat="1" ht="14.45" customHeight="1">
      <c r="A23" s="389"/>
      <c r="G23" s="35" t="s">
        <v>73</v>
      </c>
      <c r="H23" s="35" t="s">
        <v>74</v>
      </c>
      <c r="I23" s="35" t="s">
        <v>74</v>
      </c>
      <c r="J23" s="35" t="s">
        <v>74</v>
      </c>
      <c r="K23" s="37"/>
      <c r="L23" s="37"/>
      <c r="M23" s="720"/>
      <c r="N23" s="25"/>
      <c r="O23" s="25"/>
      <c r="P23" s="12" t="s">
        <v>844</v>
      </c>
      <c r="Q23" s="25" t="str">
        <f>A12</f>
        <v>Other</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row>
    <row r="24" spans="1:111" s="12" customFormat="1" ht="14.45" customHeight="1">
      <c r="A24" s="391" t="s">
        <v>86</v>
      </c>
      <c r="B24" s="721" t="s">
        <v>87</v>
      </c>
      <c r="C24" s="722"/>
      <c r="D24" s="722"/>
      <c r="E24" s="722"/>
      <c r="F24" s="722"/>
      <c r="G24" s="125"/>
      <c r="H24" s="126"/>
      <c r="I24" s="127"/>
      <c r="J24" s="128"/>
      <c r="K24" s="129"/>
      <c r="L24" s="125"/>
      <c r="M24" s="720"/>
      <c r="N24" s="25" t="s">
        <v>67</v>
      </c>
      <c r="O24" s="25"/>
      <c r="P24" s="25" t="s">
        <v>842</v>
      </c>
      <c r="Q24" s="25" t="str">
        <f>A13</f>
        <v>Other</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row>
    <row r="25" spans="1:111" s="12" customFormat="1" ht="9" customHeight="1">
      <c r="A25" s="389"/>
      <c r="B25" s="722"/>
      <c r="C25" s="722"/>
      <c r="D25" s="722"/>
      <c r="E25" s="722"/>
      <c r="F25" s="722"/>
      <c r="M25" s="720"/>
      <c r="N25" s="25"/>
      <c r="O25" s="25"/>
      <c r="P25" s="25" t="s">
        <v>843</v>
      </c>
      <c r="Q25" s="25" t="str">
        <f>A14</f>
        <v>Other</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row>
    <row r="26" spans="1:111" s="12" customFormat="1" ht="14.45" customHeight="1">
      <c r="A26" s="714" t="s">
        <v>24</v>
      </c>
      <c r="B26" s="64"/>
      <c r="C26" s="29"/>
      <c r="D26" s="29"/>
      <c r="E26" s="29"/>
      <c r="F26" s="29"/>
      <c r="G26" s="29"/>
      <c r="H26" s="65"/>
      <c r="I26" s="29"/>
      <c r="J26" s="29"/>
      <c r="K26" s="29"/>
      <c r="M26" s="720"/>
      <c r="N26" s="25"/>
      <c r="O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row>
    <row r="27" spans="1:111" s="12" customFormat="1" ht="14.45" customHeight="1">
      <c r="A27" s="714"/>
      <c r="B27" s="24" t="s">
        <v>14</v>
      </c>
      <c r="E27" s="718" t="s">
        <v>814</v>
      </c>
      <c r="F27" s="718"/>
      <c r="G27" s="716"/>
      <c r="H27" s="477">
        <f>VLOOKUP(E27,$T$10:$V$17,3,)</f>
        <v>0</v>
      </c>
      <c r="I27" s="130"/>
      <c r="J27" s="130"/>
      <c r="K27" s="25"/>
      <c r="M27" s="720"/>
      <c r="N27" s="25"/>
      <c r="P27" s="473" t="s">
        <v>845</v>
      </c>
      <c r="Q27" s="25">
        <f>VLOOKUP($Q$23,$P$11:$R$22,2,)</f>
        <v>1</v>
      </c>
      <c r="R27" s="25">
        <f>VLOOKUP($Q$23,$P$11:$R$22,3,)</f>
        <v>1</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row>
    <row r="28" spans="1:111" s="12" customFormat="1" ht="14.45" customHeight="1">
      <c r="A28" s="474" t="s">
        <v>813</v>
      </c>
      <c r="B28" s="462" t="s">
        <v>808</v>
      </c>
      <c r="F28" s="104"/>
      <c r="G28" s="104"/>
      <c r="H28" s="126"/>
      <c r="I28" s="127"/>
      <c r="J28" s="128"/>
      <c r="K28" s="25"/>
      <c r="M28" s="720"/>
      <c r="N28" s="25"/>
      <c r="O28" s="25"/>
      <c r="P28" s="473" t="s">
        <v>841</v>
      </c>
      <c r="Q28" s="25">
        <f>VLOOKUP($Q$24,$P$11:$R$22,2,)</f>
        <v>1</v>
      </c>
      <c r="R28" s="25">
        <f>VLOOKUP($Q$24,$P$11:$R$22,3,)</f>
        <v>1</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row>
    <row r="29" spans="1:111" s="12" customFormat="1" ht="14.45" customHeight="1">
      <c r="A29" s="475" t="s">
        <v>497</v>
      </c>
      <c r="B29" s="462" t="s">
        <v>815</v>
      </c>
      <c r="F29" s="104"/>
      <c r="G29" s="104"/>
      <c r="H29" s="126"/>
      <c r="I29" s="127"/>
      <c r="J29" s="128"/>
      <c r="K29" s="25"/>
      <c r="M29" s="720"/>
      <c r="N29" s="25"/>
      <c r="O29" s="25"/>
      <c r="P29" s="473" t="s">
        <v>841</v>
      </c>
      <c r="Q29" s="25">
        <f>VLOOKUP($Q$25,$P$11:$R$22,2,)</f>
        <v>1</v>
      </c>
      <c r="R29" s="25">
        <f>VLOOKUP($Q$25,$P$11:$R$22,3,)</f>
        <v>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row>
    <row r="30" spans="1:111" s="12" customFormat="1">
      <c r="A30" s="396" t="s">
        <v>80</v>
      </c>
      <c r="B30" s="36"/>
      <c r="C30" s="36" t="str">
        <f>IF(J21="sq ft","lb/1000 sq ft","lb/ac")</f>
        <v>lb/ac</v>
      </c>
      <c r="D30" s="723" t="s">
        <v>16</v>
      </c>
      <c r="E30" s="723"/>
      <c r="F30" s="723"/>
      <c r="G30" s="12" t="s">
        <v>25</v>
      </c>
      <c r="H30" s="25"/>
      <c r="I30" s="25"/>
      <c r="J30" s="25"/>
      <c r="K30" s="25"/>
      <c r="M30" s="6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row>
    <row r="31" spans="1:111" s="12" customFormat="1" ht="15.75" customHeight="1">
      <c r="A31" s="397" t="s">
        <v>84</v>
      </c>
      <c r="B31" s="104"/>
      <c r="C31" s="104"/>
      <c r="D31" s="132"/>
      <c r="E31" s="132"/>
      <c r="F31" s="132"/>
      <c r="G31" s="8"/>
      <c r="H31" s="3">
        <f>C31*D31/100</f>
        <v>0</v>
      </c>
      <c r="I31" s="53">
        <f>C31*E31/100</f>
        <v>0</v>
      </c>
      <c r="J31" s="6">
        <f>C31*F31/100</f>
        <v>0</v>
      </c>
      <c r="K31" s="9"/>
      <c r="L31" s="8"/>
      <c r="M31" s="401"/>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row>
    <row r="32" spans="1:111" s="12" customFormat="1">
      <c r="A32" s="398" t="s">
        <v>81</v>
      </c>
      <c r="B32" s="104"/>
      <c r="C32" s="104"/>
      <c r="D32" s="132"/>
      <c r="E32" s="132"/>
      <c r="F32" s="132"/>
      <c r="G32" s="8"/>
      <c r="H32" s="3">
        <f>C32*D32/100</f>
        <v>0</v>
      </c>
      <c r="I32" s="53">
        <f>C32*E32/100</f>
        <v>0</v>
      </c>
      <c r="J32" s="6">
        <f>C32*F32/100</f>
        <v>0</v>
      </c>
      <c r="K32" s="9"/>
      <c r="L32" s="8"/>
      <c r="M32" s="401"/>
      <c r="N32" s="25"/>
      <c r="O32" s="25"/>
      <c r="P32" s="25" t="s">
        <v>810</v>
      </c>
      <c r="Q32" s="25" t="str">
        <f>A29</f>
        <v>Other</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row>
    <row r="33" spans="1:111" s="12" customFormat="1">
      <c r="A33" s="398" t="s">
        <v>83</v>
      </c>
      <c r="B33" s="104"/>
      <c r="C33" s="104"/>
      <c r="D33" s="132"/>
      <c r="E33" s="132"/>
      <c r="F33" s="132"/>
      <c r="G33" s="8"/>
      <c r="H33" s="3">
        <f>C33*D33/100</f>
        <v>0</v>
      </c>
      <c r="I33" s="53">
        <f>C33*E33/100</f>
        <v>0</v>
      </c>
      <c r="J33" s="6">
        <f>C33*F33/100</f>
        <v>0</v>
      </c>
      <c r="K33" s="9"/>
      <c r="L33" s="8"/>
      <c r="M33" s="401"/>
      <c r="N33" s="25"/>
      <c r="O33" s="25"/>
      <c r="P33" s="473" t="s">
        <v>809</v>
      </c>
      <c r="Q33" s="25">
        <f>VLOOKUP($Q$32,$P$11:$R$22,2,)</f>
        <v>1</v>
      </c>
      <c r="R33" s="25">
        <f>VLOOKUP($Q$32,$P$11:$R$22,3,)</f>
        <v>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row>
    <row r="34" spans="1:111" s="12" customFormat="1" ht="15.75" thickBot="1">
      <c r="A34" s="398" t="s">
        <v>82</v>
      </c>
      <c r="B34" s="104"/>
      <c r="C34" s="104"/>
      <c r="D34" s="132"/>
      <c r="E34" s="132"/>
      <c r="F34" s="132"/>
      <c r="G34" s="14"/>
      <c r="H34" s="3">
        <f>C34*D34/100</f>
        <v>0</v>
      </c>
      <c r="I34" s="53">
        <f>C34*E34/100</f>
        <v>0</v>
      </c>
      <c r="J34" s="6">
        <f>C34*F34/100</f>
        <v>0</v>
      </c>
      <c r="K34" s="13"/>
      <c r="L34" s="14"/>
      <c r="M34" s="401"/>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row>
    <row r="35" spans="1:111" s="12" customFormat="1" ht="16.5" thickTop="1" thickBot="1">
      <c r="A35" s="402" t="s">
        <v>68</v>
      </c>
      <c r="B35" s="11"/>
      <c r="C35" s="11"/>
      <c r="D35" s="11"/>
      <c r="E35" s="11"/>
      <c r="F35" s="11"/>
      <c r="G35" s="26">
        <f>G24-(SUM(G31:G34))</f>
        <v>0</v>
      </c>
      <c r="H35" s="27">
        <f>H24-H26-H27-H28*Q33-H29*Q33-H31-H32-H33-H34</f>
        <v>0</v>
      </c>
      <c r="I35" s="28">
        <f>I24-I26-I27-I28*R33-I29*R33-I31-I32-I33-I34</f>
        <v>0</v>
      </c>
      <c r="J35" s="27">
        <f>J24-J26-J27-J28-J29-J31-J32-J33-J34</f>
        <v>0</v>
      </c>
      <c r="K35" s="27">
        <f>K24-K26-K27-K28-K29-K31-K32-K33-K34</f>
        <v>0</v>
      </c>
      <c r="L35" s="27">
        <f>L24-L26-L27-L28-L29-L31-L32-L33-L34</f>
        <v>0</v>
      </c>
      <c r="M35" s="40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row>
    <row r="36" spans="1:111" s="12" customFormat="1">
      <c r="A36" s="400" t="s">
        <v>7</v>
      </c>
      <c r="B36" s="122"/>
      <c r="C36" s="20"/>
      <c r="D36" s="719" t="s">
        <v>18</v>
      </c>
      <c r="E36" s="719"/>
      <c r="F36" s="719"/>
      <c r="G36" s="123"/>
      <c r="H36" s="20" t="s">
        <v>15</v>
      </c>
      <c r="I36" s="124"/>
      <c r="J36" s="23" t="s">
        <v>11</v>
      </c>
      <c r="K36" s="20" t="s">
        <v>26</v>
      </c>
      <c r="L36" s="20"/>
      <c r="M36" s="39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row>
    <row r="37" spans="1:111" s="12" customFormat="1" ht="14.45" customHeight="1">
      <c r="A37" s="389"/>
      <c r="G37" s="24" t="s">
        <v>13</v>
      </c>
      <c r="H37" s="24" t="s">
        <v>1</v>
      </c>
      <c r="I37" s="24" t="s">
        <v>75</v>
      </c>
      <c r="J37" s="24" t="s">
        <v>23</v>
      </c>
      <c r="K37" s="37"/>
      <c r="L37" s="37"/>
      <c r="M37" s="720" t="s">
        <v>57</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row>
    <row r="38" spans="1:111" s="12" customFormat="1" ht="14.45" customHeight="1">
      <c r="A38" s="389"/>
      <c r="G38" s="35" t="s">
        <v>73</v>
      </c>
      <c r="H38" s="35" t="s">
        <v>74</v>
      </c>
      <c r="I38" s="35" t="s">
        <v>74</v>
      </c>
      <c r="J38" s="35" t="s">
        <v>74</v>
      </c>
      <c r="K38" s="37"/>
      <c r="L38" s="37"/>
      <c r="M38" s="720"/>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row>
    <row r="39" spans="1:111" s="12" customFormat="1" ht="14.45" customHeight="1">
      <c r="A39" s="391" t="s">
        <v>86</v>
      </c>
      <c r="B39" s="721" t="s">
        <v>87</v>
      </c>
      <c r="C39" s="722"/>
      <c r="D39" s="722"/>
      <c r="E39" s="722"/>
      <c r="F39" s="722"/>
      <c r="G39" s="125"/>
      <c r="H39" s="126"/>
      <c r="I39" s="127"/>
      <c r="J39" s="128"/>
      <c r="K39" s="129"/>
      <c r="L39" s="125"/>
      <c r="M39" s="720"/>
      <c r="N39" s="25" t="s">
        <v>67</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row>
    <row r="40" spans="1:111" s="12" customFormat="1" ht="13.15" customHeight="1">
      <c r="A40" s="389"/>
      <c r="B40" s="722"/>
      <c r="C40" s="722"/>
      <c r="D40" s="722"/>
      <c r="E40" s="722"/>
      <c r="F40" s="722"/>
      <c r="M40" s="72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row>
    <row r="41" spans="1:111" s="12" customFormat="1" ht="14.45" customHeight="1">
      <c r="A41" s="714" t="s">
        <v>24</v>
      </c>
      <c r="B41" s="24"/>
      <c r="H41" s="65"/>
      <c r="I41" s="25"/>
      <c r="J41" s="25"/>
      <c r="K41" s="25"/>
      <c r="M41" s="72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row>
    <row r="42" spans="1:111" s="12" customFormat="1" ht="14.45" customHeight="1">
      <c r="A42" s="714"/>
      <c r="B42" s="24" t="s">
        <v>14</v>
      </c>
      <c r="E42" s="718" t="s">
        <v>814</v>
      </c>
      <c r="F42" s="718"/>
      <c r="G42" s="716"/>
      <c r="H42" s="477">
        <f>VLOOKUP(E42,$T$10:$V$17,3,)</f>
        <v>0</v>
      </c>
      <c r="I42" s="25"/>
      <c r="J42" s="25"/>
      <c r="K42" s="25"/>
      <c r="M42" s="720"/>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row>
    <row r="43" spans="1:111" s="12" customFormat="1" ht="14.45" customHeight="1">
      <c r="A43" s="474" t="s">
        <v>813</v>
      </c>
      <c r="B43" s="462" t="s">
        <v>808</v>
      </c>
      <c r="E43" s="104"/>
      <c r="F43" s="104"/>
      <c r="G43" s="104"/>
      <c r="H43" s="126"/>
      <c r="I43" s="127"/>
      <c r="J43" s="128"/>
      <c r="K43" s="25"/>
      <c r="M43" s="720"/>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row>
    <row r="44" spans="1:111" s="12" customFormat="1" ht="14.45" customHeight="1">
      <c r="A44" s="475" t="s">
        <v>497</v>
      </c>
      <c r="B44" s="462" t="s">
        <v>815</v>
      </c>
      <c r="E44" s="104"/>
      <c r="F44" s="104"/>
      <c r="G44" s="104"/>
      <c r="H44" s="126"/>
      <c r="I44" s="127"/>
      <c r="J44" s="128"/>
      <c r="K44" s="25"/>
      <c r="M44" s="720"/>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row>
    <row r="45" spans="1:111" s="12" customFormat="1" ht="15" customHeight="1">
      <c r="A45" s="396" t="s">
        <v>80</v>
      </c>
      <c r="B45" s="36"/>
      <c r="C45" s="36" t="str">
        <f>IF(J36="sq ft","lb/1000 sq ft","lb/ac")</f>
        <v>lb/ac</v>
      </c>
      <c r="D45" s="723" t="s">
        <v>16</v>
      </c>
      <c r="E45" s="723"/>
      <c r="F45" s="723"/>
      <c r="G45" s="12" t="s">
        <v>25</v>
      </c>
      <c r="H45" s="25"/>
      <c r="I45" s="25"/>
      <c r="J45" s="25"/>
      <c r="K45" s="25"/>
      <c r="M45" s="6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row>
    <row r="46" spans="1:111" s="12" customFormat="1">
      <c r="A46" s="404" t="s">
        <v>84</v>
      </c>
      <c r="B46" s="104"/>
      <c r="C46" s="104"/>
      <c r="D46" s="132"/>
      <c r="E46" s="132"/>
      <c r="F46" s="132"/>
      <c r="G46" s="8"/>
      <c r="H46" s="3">
        <f>C46*D46/100</f>
        <v>0</v>
      </c>
      <c r="I46" s="53">
        <f>C46*E46/100</f>
        <v>0</v>
      </c>
      <c r="J46" s="6">
        <f>C46*F46/100</f>
        <v>0</v>
      </c>
      <c r="K46" s="9"/>
      <c r="L46" s="8"/>
      <c r="M46" s="401"/>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row>
    <row r="47" spans="1:111" s="12" customFormat="1">
      <c r="A47" s="405" t="s">
        <v>81</v>
      </c>
      <c r="B47" s="104"/>
      <c r="C47" s="104"/>
      <c r="D47" s="132"/>
      <c r="E47" s="132"/>
      <c r="F47" s="132"/>
      <c r="G47" s="8"/>
      <c r="H47" s="3">
        <f>C47*D47/100</f>
        <v>0</v>
      </c>
      <c r="I47" s="53">
        <f>C47*E47/100</f>
        <v>0</v>
      </c>
      <c r="J47" s="6">
        <f>C47*F47/100</f>
        <v>0</v>
      </c>
      <c r="K47" s="9"/>
      <c r="L47" s="8"/>
      <c r="M47" s="401"/>
      <c r="N47" s="25"/>
      <c r="O47" s="25"/>
      <c r="P47" s="25" t="s">
        <v>810</v>
      </c>
      <c r="Q47" s="25" t="str">
        <f>A44</f>
        <v>Other</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row>
    <row r="48" spans="1:111" s="12" customFormat="1">
      <c r="A48" s="405" t="s">
        <v>83</v>
      </c>
      <c r="B48" s="104"/>
      <c r="C48" s="104"/>
      <c r="D48" s="132"/>
      <c r="E48" s="132"/>
      <c r="F48" s="132"/>
      <c r="G48" s="8"/>
      <c r="H48" s="3">
        <f>C48*D48/100</f>
        <v>0</v>
      </c>
      <c r="I48" s="53">
        <f>C48*E48/100</f>
        <v>0</v>
      </c>
      <c r="J48" s="6">
        <f>C48*F48/100</f>
        <v>0</v>
      </c>
      <c r="K48" s="9"/>
      <c r="L48" s="8"/>
      <c r="M48" s="401"/>
      <c r="N48" s="25"/>
      <c r="O48" s="25"/>
      <c r="P48" s="473" t="s">
        <v>809</v>
      </c>
      <c r="Q48" s="25">
        <f>VLOOKUP($Q$47,$P$11:$R$22,2,)</f>
        <v>1</v>
      </c>
      <c r="R48" s="25">
        <f>VLOOKUP($Q$47,$P$11:$R$22,3,)</f>
        <v>1</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row>
    <row r="49" spans="1:111" s="12" customFormat="1" ht="15.75" thickBot="1">
      <c r="A49" s="405" t="s">
        <v>82</v>
      </c>
      <c r="B49" s="104"/>
      <c r="C49" s="104"/>
      <c r="D49" s="132"/>
      <c r="E49" s="132"/>
      <c r="F49" s="132"/>
      <c r="G49" s="14"/>
      <c r="H49" s="3">
        <f>C49*D49/100</f>
        <v>0</v>
      </c>
      <c r="I49" s="53">
        <f>C49*E49/100</f>
        <v>0</v>
      </c>
      <c r="J49" s="6">
        <f>C49*F49/100</f>
        <v>0</v>
      </c>
      <c r="K49" s="13"/>
      <c r="L49" s="14"/>
      <c r="M49" s="401"/>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row>
    <row r="50" spans="1:111" s="12" customFormat="1" ht="15.75" thickTop="1">
      <c r="A50" s="406" t="s">
        <v>68</v>
      </c>
      <c r="B50" s="407"/>
      <c r="C50" s="407"/>
      <c r="D50" s="407"/>
      <c r="E50" s="407"/>
      <c r="F50" s="407"/>
      <c r="G50" s="408">
        <f>G39-(SUM(G46:G49))</f>
        <v>0</v>
      </c>
      <c r="H50" s="409">
        <f>H39-H41-H42-H43*Q48-H44*Q48-H46-H47-H48-H49</f>
        <v>0</v>
      </c>
      <c r="I50" s="410">
        <f>I39-I41-I42-I43*R48-I44*R48-I46-I47-I48-I49</f>
        <v>0</v>
      </c>
      <c r="J50" s="409">
        <f>J39-J41-J42-J43-J44-J46-J47-J48-J49</f>
        <v>0</v>
      </c>
      <c r="K50" s="409">
        <f>K39-K41-K42-K43-K44-K46-K47-K48-K49</f>
        <v>0</v>
      </c>
      <c r="L50" s="409">
        <f>L39-L41-L42-L43-L44-L46-L47-L48-L49</f>
        <v>0</v>
      </c>
      <c r="M50" s="41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row>
    <row r="51" spans="1:111" s="7" customFormat="1" hidden="1"/>
    <row r="52" spans="1:111" s="7" customFormat="1" hidden="1"/>
    <row r="53" spans="1:111" s="7" customFormat="1" hidden="1"/>
    <row r="54" spans="1:111" s="7" customFormat="1" hidden="1"/>
    <row r="55" spans="1:111" s="7" customFormat="1" hidden="1"/>
    <row r="56" spans="1:111" s="7" customFormat="1" hidden="1"/>
    <row r="57" spans="1:111" s="7" customFormat="1" hidden="1"/>
    <row r="58" spans="1:111" s="7" customFormat="1" hidden="1"/>
    <row r="59" spans="1:111" s="7" customFormat="1" hidden="1"/>
    <row r="60" spans="1:111" s="7" customFormat="1" hidden="1"/>
    <row r="61" spans="1:111" s="7" customFormat="1" hidden="1"/>
    <row r="62" spans="1:111" s="7" customFormat="1" hidden="1"/>
    <row r="63" spans="1:111" s="7" customFormat="1" hidden="1"/>
    <row r="64" spans="1:111" s="7" customFormat="1" hidden="1"/>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7" customFormat="1" hidden="1"/>
    <row r="90" s="7" customFormat="1" hidden="1"/>
    <row r="91" s="7" customFormat="1" hidden="1"/>
    <row r="92" s="7" customFormat="1" hidden="1"/>
    <row r="93" s="7" customFormat="1" hidden="1"/>
    <row r="94" s="7" customFormat="1" hidden="1"/>
    <row r="95" s="7" customFormat="1" hidden="1"/>
    <row r="96" s="7" customFormat="1" hidden="1"/>
    <row r="97" s="7" customFormat="1" hidden="1"/>
    <row r="98" s="7" customFormat="1" hidden="1"/>
    <row r="99" s="7" customFormat="1" hidden="1"/>
    <row r="100" s="7" customFormat="1" hidden="1"/>
    <row r="101" s="7" customFormat="1" hidden="1"/>
    <row r="102" s="7" customFormat="1" hidden="1"/>
    <row r="103" s="7" customFormat="1" hidden="1"/>
    <row r="104" s="7" customFormat="1" hidden="1"/>
    <row r="105" s="7" customFormat="1" hidden="1"/>
    <row r="106" s="7" customFormat="1" hidden="1"/>
    <row r="107" s="7" customFormat="1" hidden="1"/>
    <row r="108" s="7" customFormat="1" hidden="1"/>
    <row r="109" s="7" customFormat="1" hidden="1"/>
    <row r="110" s="7" customFormat="1" hidden="1"/>
    <row r="111" s="7" customFormat="1" hidden="1"/>
    <row r="112" s="7" customFormat="1" hidden="1"/>
    <row r="113" s="7" customFormat="1" hidden="1"/>
    <row r="114" s="7" customFormat="1" hidden="1"/>
    <row r="115" s="7" customFormat="1" hidden="1"/>
    <row r="116" s="7" customFormat="1" hidden="1"/>
    <row r="117" s="7" customFormat="1" hidden="1"/>
    <row r="118" s="7" customFormat="1" hidden="1"/>
    <row r="119" s="7" customFormat="1" hidden="1"/>
    <row r="120" s="7" customFormat="1" hidden="1"/>
    <row r="121" s="7" customFormat="1" hidden="1"/>
    <row r="122" s="7" customFormat="1" hidden="1"/>
    <row r="123" s="7" customFormat="1" hidden="1"/>
    <row r="124" s="7" customFormat="1" hidden="1"/>
    <row r="125" s="7" customFormat="1" hidden="1"/>
    <row r="126" s="7" customFormat="1" hidden="1"/>
    <row r="127" s="7" customFormat="1" hidden="1"/>
    <row r="128" s="7" customFormat="1" hidden="1"/>
    <row r="129" s="7" customFormat="1" hidden="1"/>
    <row r="130" s="7" customFormat="1" hidden="1"/>
    <row r="131" s="7" customFormat="1" hidden="1"/>
    <row r="132" s="7" customFormat="1" hidden="1"/>
    <row r="133" s="7" customFormat="1" hidden="1"/>
    <row r="134" s="7" customFormat="1" hidden="1"/>
    <row r="135" s="7" customFormat="1" hidden="1"/>
    <row r="136" s="7" customFormat="1" hidden="1"/>
    <row r="137" s="7" customFormat="1" hidden="1"/>
    <row r="138" s="7" customFormat="1" hidden="1"/>
    <row r="139" s="7" customFormat="1" hidden="1"/>
    <row r="140" s="7" customFormat="1" hidden="1"/>
    <row r="141" s="7" customFormat="1" hidden="1"/>
    <row r="142" s="7" customFormat="1" hidden="1"/>
    <row r="143" s="7" customFormat="1" hidden="1"/>
    <row r="144" s="7" customFormat="1" hidden="1"/>
    <row r="145" s="7" customFormat="1" hidden="1"/>
    <row r="146" s="7" customFormat="1" hidden="1"/>
    <row r="147" s="7" customFormat="1" hidden="1"/>
    <row r="148" s="7" customFormat="1" hidden="1"/>
    <row r="149" s="7" customFormat="1" hidden="1"/>
    <row r="150" s="7" customFormat="1" hidden="1"/>
    <row r="151" s="7" customFormat="1" hidden="1"/>
    <row r="152" s="7" customFormat="1" hidden="1"/>
    <row r="153" s="7" customFormat="1" hidden="1"/>
    <row r="154" s="7" customFormat="1" hidden="1"/>
    <row r="155" s="7" customFormat="1" hidden="1"/>
    <row r="156" s="7" customFormat="1" hidden="1"/>
    <row r="157" s="7" customFormat="1" hidden="1"/>
    <row r="158" s="7" customFormat="1" hidden="1"/>
    <row r="159" s="7" customFormat="1" hidden="1"/>
    <row r="160" s="7" customFormat="1" hidden="1"/>
    <row r="161" s="7" customFormat="1" hidden="1"/>
    <row r="162" s="7" customFormat="1" hidden="1"/>
    <row r="163" s="7" customFormat="1" hidden="1"/>
    <row r="164" s="7" customFormat="1" hidden="1"/>
    <row r="165" s="7" customFormat="1" hidden="1"/>
    <row r="166" s="7" customFormat="1" hidden="1"/>
    <row r="167" s="7" customFormat="1" hidden="1"/>
    <row r="168" s="7" customFormat="1" hidden="1"/>
    <row r="169" s="7" customFormat="1" hidden="1"/>
    <row r="170" s="7" customFormat="1" hidden="1"/>
    <row r="171" s="7" customFormat="1" hidden="1"/>
    <row r="172" s="7" customFormat="1" hidden="1"/>
    <row r="173" s="7" customFormat="1" hidden="1"/>
    <row r="174" s="7" customFormat="1" hidden="1"/>
    <row r="175" s="7" customFormat="1" hidden="1"/>
    <row r="176" s="7" customFormat="1" hidden="1"/>
    <row r="177" s="7" customFormat="1" hidden="1"/>
    <row r="178" s="7" customFormat="1" hidden="1"/>
    <row r="179" s="7" customFormat="1" hidden="1"/>
    <row r="180" s="7" customFormat="1" hidden="1"/>
    <row r="181" s="7" customFormat="1" hidden="1"/>
    <row r="182" s="7" customFormat="1" hidden="1"/>
    <row r="183" s="7" customFormat="1" hidden="1"/>
    <row r="184" s="7" customFormat="1" hidden="1"/>
    <row r="185" s="7" customFormat="1" hidden="1"/>
    <row r="186" s="7" customFormat="1" hidden="1"/>
    <row r="187" s="7" customFormat="1" hidden="1"/>
    <row r="188" s="7" customFormat="1" hidden="1"/>
    <row r="189" s="7" customFormat="1" hidden="1"/>
    <row r="190" s="7" customFormat="1" hidden="1"/>
    <row r="191" s="7" customFormat="1" hidden="1"/>
    <row r="192" s="7" customFormat="1" hidden="1"/>
    <row r="193" s="7" customFormat="1" hidden="1"/>
    <row r="194" s="7" customFormat="1" hidden="1"/>
    <row r="195" s="7" customFormat="1" hidden="1"/>
    <row r="196" s="7" customFormat="1" hidden="1"/>
    <row r="197" s="7" customFormat="1" hidden="1"/>
    <row r="198" s="7" customFormat="1" hidden="1"/>
    <row r="199" s="7" customFormat="1" hidden="1"/>
    <row r="200" s="7" customFormat="1" hidden="1"/>
    <row r="201" s="7" customFormat="1" hidden="1"/>
    <row r="202" s="7" customFormat="1" hidden="1"/>
    <row r="203" s="7" customFormat="1" hidden="1"/>
    <row r="204" s="7" customFormat="1" hidden="1"/>
    <row r="205" s="7" customFormat="1" hidden="1"/>
    <row r="206" s="7" customFormat="1" hidden="1"/>
    <row r="207" s="7" customFormat="1" hidden="1"/>
    <row r="208" s="7" customFormat="1" hidden="1"/>
    <row r="209" s="7" customFormat="1" hidden="1"/>
    <row r="210" s="7" customFormat="1" hidden="1"/>
    <row r="211" s="7" customFormat="1" hidden="1"/>
    <row r="212" s="7" customFormat="1" hidden="1"/>
    <row r="213" s="7" customFormat="1" hidden="1"/>
    <row r="214" s="7" customFormat="1" hidden="1"/>
    <row r="215" s="7" customFormat="1" hidden="1"/>
    <row r="216" s="7" customFormat="1" hidden="1"/>
    <row r="217" s="7" customFormat="1" hidden="1"/>
    <row r="218" s="7" customFormat="1" hidden="1"/>
    <row r="219" s="7" customFormat="1" hidden="1"/>
    <row r="220" s="7" customFormat="1" hidden="1"/>
    <row r="221" s="7" customFormat="1" hidden="1"/>
    <row r="222" s="7" customFormat="1" hidden="1"/>
    <row r="223" s="7" customFormat="1" hidden="1"/>
    <row r="224" s="7" customFormat="1" hidden="1"/>
    <row r="225" s="7" customFormat="1" hidden="1"/>
    <row r="226" s="7" customFormat="1" hidden="1"/>
    <row r="227" s="7" customFormat="1" hidden="1"/>
    <row r="228" s="7" customFormat="1" hidden="1"/>
    <row r="229" s="7" customFormat="1" hidden="1"/>
    <row r="230" s="7" customFormat="1" hidden="1"/>
    <row r="231" s="7" customFormat="1" hidden="1"/>
    <row r="232" s="7" customFormat="1" hidden="1"/>
    <row r="233" s="7" customFormat="1" hidden="1"/>
    <row r="234" s="7" customFormat="1" hidden="1"/>
    <row r="235" s="7" customFormat="1" hidden="1"/>
    <row r="236" s="7" customFormat="1" hidden="1"/>
    <row r="237" s="7" customFormat="1" hidden="1"/>
    <row r="238" s="7" customFormat="1" hidden="1"/>
    <row r="239" s="7" customFormat="1" hidden="1"/>
    <row r="240" s="7" customFormat="1" hidden="1"/>
    <row r="241" s="7" customFormat="1" hidden="1"/>
    <row r="242" s="7" customFormat="1" hidden="1"/>
    <row r="243" s="7" customFormat="1" hidden="1"/>
    <row r="244" s="7" customFormat="1" hidden="1"/>
    <row r="245" s="7" customFormat="1" hidden="1"/>
    <row r="246" s="7" customFormat="1" hidden="1"/>
    <row r="247" s="7" customFormat="1" hidden="1"/>
    <row r="248" s="7" customFormat="1" hidden="1"/>
    <row r="249" s="7" customFormat="1" hidden="1"/>
    <row r="250" s="7" customFormat="1" hidden="1"/>
    <row r="251" s="7" customFormat="1" hidden="1"/>
    <row r="252" s="7" customFormat="1" hidden="1"/>
    <row r="253" s="7" customFormat="1" hidden="1"/>
    <row r="254" s="7" customFormat="1" hidden="1"/>
    <row r="255" s="7" customFormat="1" hidden="1"/>
    <row r="256" s="7" customFormat="1" hidden="1"/>
    <row r="257" s="7" customFormat="1" hidden="1"/>
    <row r="258" s="7" customFormat="1" hidden="1"/>
    <row r="259" s="7" customFormat="1" hidden="1"/>
    <row r="260" s="7" customFormat="1" hidden="1"/>
    <row r="261" s="7" customFormat="1" hidden="1"/>
    <row r="262" s="7" customFormat="1" hidden="1"/>
    <row r="263" s="7" customFormat="1" hidden="1"/>
    <row r="264" s="7" customFormat="1" hidden="1"/>
    <row r="265" s="7" customFormat="1" hidden="1"/>
    <row r="266" s="7" customFormat="1" hidden="1"/>
    <row r="267" s="7" customFormat="1" hidden="1"/>
    <row r="268" s="7" customFormat="1" hidden="1"/>
    <row r="269" s="7" customFormat="1" hidden="1"/>
    <row r="270" s="7" customFormat="1" hidden="1"/>
    <row r="271" s="7" customFormat="1" hidden="1"/>
    <row r="272" s="7" customFormat="1" hidden="1"/>
    <row r="273" s="7" customFormat="1" hidden="1"/>
    <row r="274" s="7" customFormat="1" hidden="1"/>
    <row r="275" s="7" customFormat="1" hidden="1"/>
    <row r="276" s="7" customFormat="1" hidden="1"/>
    <row r="277" s="7" customFormat="1" hidden="1"/>
    <row r="278" s="7" customFormat="1" hidden="1"/>
    <row r="279" s="7" customFormat="1" hidden="1"/>
    <row r="280" s="7" customFormat="1" hidden="1"/>
    <row r="281" s="7" customFormat="1" hidden="1"/>
    <row r="282" s="7" customFormat="1" hidden="1"/>
    <row r="283" s="7" customFormat="1" hidden="1"/>
    <row r="284" s="7" customFormat="1" hidden="1"/>
    <row r="285" s="7" customFormat="1" hidden="1"/>
    <row r="286" s="7" customFormat="1" hidden="1"/>
    <row r="287" s="7" customFormat="1" hidden="1"/>
    <row r="288" s="7" customFormat="1" hidden="1"/>
    <row r="289" s="7" customFormat="1" hidden="1"/>
    <row r="290" s="7" customFormat="1" hidden="1"/>
    <row r="291" s="7" customFormat="1" hidden="1"/>
    <row r="292" s="7" customFormat="1" hidden="1"/>
    <row r="293" s="7" customFormat="1" hidden="1"/>
    <row r="294" s="7" customFormat="1" hidden="1"/>
    <row r="295" s="7" customFormat="1" hidden="1"/>
    <row r="296" s="7" customFormat="1" hidden="1"/>
    <row r="297" s="7" customFormat="1" hidden="1"/>
    <row r="298" s="7" customFormat="1" hidden="1"/>
    <row r="299" s="7" customFormat="1" hidden="1"/>
    <row r="300" s="7" customFormat="1" hidden="1"/>
    <row r="301" s="7" customFormat="1" hidden="1"/>
    <row r="302" s="7" customFormat="1" hidden="1"/>
    <row r="303" s="7" customFormat="1" hidden="1"/>
    <row r="304" s="7" customFormat="1" hidden="1"/>
    <row r="305" s="7" customFormat="1" hidden="1"/>
    <row r="306" s="7" customFormat="1" hidden="1"/>
    <row r="307" s="7" customFormat="1" hidden="1"/>
    <row r="308" s="7" customFormat="1" hidden="1"/>
    <row r="309" s="7" customFormat="1" hidden="1"/>
    <row r="310" s="7" customFormat="1" hidden="1"/>
    <row r="311" s="7" customFormat="1" hidden="1"/>
    <row r="312" s="7" customFormat="1" hidden="1"/>
    <row r="313" s="7" customFormat="1" hidden="1"/>
    <row r="314" s="7" customFormat="1" hidden="1"/>
    <row r="315" s="7" customFormat="1" hidden="1"/>
    <row r="316" s="7" customFormat="1" hidden="1"/>
    <row r="317" s="7" customFormat="1" hidden="1"/>
    <row r="318" s="7" customFormat="1" hidden="1"/>
    <row r="319" s="7" customFormat="1" hidden="1"/>
    <row r="320" s="7" customFormat="1" hidden="1"/>
    <row r="321" s="7" customFormat="1" hidden="1"/>
    <row r="322" s="7" customFormat="1" hidden="1"/>
    <row r="323" s="7" customFormat="1" hidden="1"/>
    <row r="324" s="7" customFormat="1" hidden="1"/>
    <row r="325" s="7" customFormat="1" hidden="1"/>
    <row r="326" s="7" customFormat="1" hidden="1"/>
    <row r="327" s="7" customFormat="1" hidden="1"/>
    <row r="328" s="7" customFormat="1" hidden="1"/>
    <row r="329" s="7" customFormat="1" hidden="1"/>
    <row r="330" s="7" customFormat="1" hidden="1"/>
    <row r="331" s="7" customFormat="1" hidden="1"/>
    <row r="332" s="7" customFormat="1" hidden="1"/>
    <row r="333" s="7" customFormat="1" hidden="1"/>
    <row r="334" s="7" customFormat="1" hidden="1"/>
    <row r="335" s="7" customFormat="1" hidden="1"/>
    <row r="336" s="7" customFormat="1" hidden="1"/>
    <row r="337" s="7" customFormat="1" hidden="1"/>
    <row r="338" s="7" customFormat="1" hidden="1"/>
    <row r="339" s="7" customFormat="1" hidden="1"/>
    <row r="340" s="7" customFormat="1" hidden="1"/>
    <row r="341" s="7" customFormat="1" hidden="1"/>
    <row r="342" s="7" customFormat="1" hidden="1"/>
    <row r="343" s="7" customFormat="1" hidden="1"/>
    <row r="344" s="7" customFormat="1" hidden="1"/>
    <row r="345" s="7" customFormat="1" hidden="1"/>
    <row r="346" s="7" customFormat="1" hidden="1"/>
    <row r="347" s="7" customFormat="1" hidden="1"/>
    <row r="348" s="7" customFormat="1" hidden="1"/>
    <row r="349" s="7" customFormat="1" hidden="1"/>
    <row r="350" s="7" customFormat="1" hidden="1"/>
    <row r="351" s="7" customFormat="1" hidden="1"/>
    <row r="352" s="7" customFormat="1" hidden="1"/>
    <row r="353" s="7" customFormat="1" hidden="1"/>
    <row r="354" s="7" customFormat="1" hidden="1"/>
    <row r="355" s="7" customFormat="1" hidden="1"/>
    <row r="356" s="7" customFormat="1" hidden="1"/>
    <row r="357" s="7" customFormat="1" hidden="1"/>
    <row r="358" s="7" customFormat="1" hidden="1"/>
    <row r="359" s="7" customFormat="1" hidden="1"/>
    <row r="360" s="7" customFormat="1" hidden="1"/>
    <row r="361" s="7" customFormat="1" hidden="1"/>
    <row r="362" s="7" customFormat="1" hidden="1"/>
    <row r="363" s="7" customFormat="1" hidden="1"/>
    <row r="364" s="7" customFormat="1" hidden="1"/>
    <row r="365" s="7" customFormat="1" hidden="1"/>
    <row r="366" s="7" customFormat="1" hidden="1"/>
    <row r="367" s="7" customFormat="1" hidden="1"/>
    <row r="368" s="7" customFormat="1" hidden="1"/>
    <row r="369" s="7" customFormat="1" hidden="1"/>
    <row r="370" s="7" customFormat="1" hidden="1"/>
    <row r="371" s="7" customFormat="1" hidden="1"/>
    <row r="372" s="7" customFormat="1" hidden="1"/>
    <row r="373" s="7" customFormat="1" hidden="1"/>
    <row r="374" s="7" customFormat="1" hidden="1"/>
    <row r="375" s="7" customFormat="1" hidden="1"/>
    <row r="376" s="7" customFormat="1" hidden="1"/>
    <row r="377" s="7" customFormat="1" hidden="1"/>
    <row r="378" s="7" customFormat="1" hidden="1"/>
    <row r="379" s="7" customFormat="1" hidden="1"/>
    <row r="380" s="7" customFormat="1" hidden="1"/>
    <row r="381" s="7" customFormat="1" hidden="1"/>
    <row r="382" s="7" customFormat="1" hidden="1"/>
    <row r="383" s="7" customFormat="1" hidden="1"/>
    <row r="384" s="7" customFormat="1" hidden="1"/>
    <row r="385" s="7" customFormat="1" hidden="1"/>
    <row r="386" s="7" customFormat="1" hidden="1"/>
    <row r="387" s="7" customFormat="1" hidden="1"/>
    <row r="388" s="7" customFormat="1" hidden="1"/>
    <row r="389" s="7" customFormat="1" hidden="1"/>
    <row r="390" s="7" customFormat="1" hidden="1"/>
    <row r="391" s="7" customFormat="1" hidden="1"/>
    <row r="392" s="7" customFormat="1" hidden="1"/>
    <row r="393" s="7" customFormat="1" hidden="1"/>
    <row r="394" s="7" customFormat="1" hidden="1"/>
    <row r="395" s="7" customFormat="1" hidden="1"/>
    <row r="396" s="7" customFormat="1" hidden="1"/>
    <row r="397" s="7" customFormat="1" hidden="1"/>
    <row r="398" s="7" customFormat="1" hidden="1"/>
    <row r="399" s="7" customFormat="1" hidden="1"/>
    <row r="400" s="7" customFormat="1" hidden="1"/>
    <row r="401" s="7" customFormat="1" hidden="1"/>
    <row r="402" s="7" customFormat="1" hidden="1"/>
    <row r="403" s="7" customFormat="1" hidden="1"/>
    <row r="404" s="7" customFormat="1" hidden="1"/>
    <row r="405" s="7" customFormat="1" hidden="1"/>
    <row r="406" s="7" customFormat="1" hidden="1"/>
    <row r="407" s="7" customFormat="1" hidden="1"/>
    <row r="408" s="7" customFormat="1" hidden="1"/>
    <row r="409" s="7" customFormat="1" hidden="1"/>
    <row r="410" s="7" customFormat="1" hidden="1"/>
    <row r="411" s="7" customFormat="1" hidden="1"/>
    <row r="412" s="7" customFormat="1" hidden="1"/>
    <row r="413" s="7" customFormat="1" hidden="1"/>
    <row r="414" s="7" customFormat="1" hidden="1"/>
    <row r="415" s="7" customFormat="1" hidden="1"/>
    <row r="416" s="7" customFormat="1" hidden="1"/>
    <row r="417" s="7" customFormat="1" hidden="1"/>
    <row r="418" s="7" customFormat="1" hidden="1"/>
    <row r="419" s="7" customFormat="1" hidden="1"/>
    <row r="420" s="7" customFormat="1" hidden="1"/>
    <row r="421" s="7" customFormat="1" hidden="1"/>
    <row r="422" s="7" customFormat="1" hidden="1"/>
    <row r="423" s="7" customFormat="1" hidden="1"/>
    <row r="424" s="7" customFormat="1" hidden="1"/>
    <row r="425" s="7" customFormat="1" hidden="1"/>
    <row r="426" s="7" customFormat="1" hidden="1"/>
    <row r="427" s="7" customFormat="1" hidden="1"/>
    <row r="428" s="7" customFormat="1" hidden="1"/>
    <row r="429" s="7" customFormat="1" hidden="1"/>
    <row r="430" s="7" customFormat="1" hidden="1"/>
    <row r="431" s="7" customFormat="1" hidden="1"/>
    <row r="432" s="7" customFormat="1" hidden="1"/>
    <row r="433" s="7" customFormat="1" hidden="1"/>
    <row r="434" s="7" customFormat="1" hidden="1"/>
    <row r="435" s="7" customFormat="1" hidden="1"/>
    <row r="436" s="7" customFormat="1" hidden="1"/>
    <row r="437" s="7" customFormat="1" hidden="1"/>
    <row r="438" s="7" customFormat="1" hidden="1"/>
    <row r="439" s="7" customFormat="1" hidden="1"/>
    <row r="440" s="7" customFormat="1" hidden="1"/>
  </sheetData>
  <sheetProtection sheet="1"/>
  <mergeCells count="21">
    <mergeCell ref="E2:F2"/>
    <mergeCell ref="E3:F3"/>
    <mergeCell ref="E4:F4"/>
    <mergeCell ref="D5:F5"/>
    <mergeCell ref="D21:F21"/>
    <mergeCell ref="M6:M13"/>
    <mergeCell ref="B8:F9"/>
    <mergeCell ref="A10:A11"/>
    <mergeCell ref="D15:F15"/>
    <mergeCell ref="E11:G11"/>
    <mergeCell ref="D30:F30"/>
    <mergeCell ref="D36:F36"/>
    <mergeCell ref="M22:M29"/>
    <mergeCell ref="B24:F25"/>
    <mergeCell ref="A26:A27"/>
    <mergeCell ref="E27:G27"/>
    <mergeCell ref="M37:M44"/>
    <mergeCell ref="B39:F40"/>
    <mergeCell ref="A41:A42"/>
    <mergeCell ref="D45:F45"/>
    <mergeCell ref="E42:G42"/>
  </mergeCells>
  <phoneticPr fontId="13" type="noConversion"/>
  <dataValidations count="5">
    <dataValidation type="list" allowBlank="1" showErrorMessage="1" sqref="E3:F3">
      <formula1>$AA$1:$AA$3</formula1>
    </dataValidation>
    <dataValidation type="list" allowBlank="1" showInputMessage="1" showErrorMessage="1" sqref="B4">
      <formula1>$Z$1:$Z$2</formula1>
    </dataValidation>
    <dataValidation type="list" allowBlank="1" showInputMessage="1" showErrorMessage="1" sqref="J5 J36 J21">
      <formula1>$Q$1:$Q$2</formula1>
    </dataValidation>
    <dataValidation type="list" allowBlank="1" showInputMessage="1" showErrorMessage="1" sqref="E42:G42 E11:G11 E27:G27">
      <formula1>$T$10:$T$17</formula1>
    </dataValidation>
    <dataValidation type="list" allowBlank="1" showInputMessage="1" showErrorMessage="1" sqref="A44 A12:A14 A29">
      <formula1>$P$11:$P$21</formula1>
    </dataValidation>
  </dataValidations>
  <pageMargins left="0.54" right="0.44999999999999996" top="1" bottom="0.25" header="0.3" footer="0.3"/>
  <pageSetup scale="96" orientation="portrait" r:id="rId1"/>
  <headerFooter>
    <oddHeader>&amp;L&amp;D&amp;CVegetable Nutrient Management Planning Workbook&amp;R&amp;G</oddHeader>
  </headerFooter>
  <legacyDrawingHF r:id="rId2"/>
</worksheet>
</file>

<file path=xl/worksheets/sheet33.xml><?xml version="1.0" encoding="utf-8"?>
<worksheet xmlns="http://schemas.openxmlformats.org/spreadsheetml/2006/main" xmlns:r="http://schemas.openxmlformats.org/officeDocument/2006/relationships">
  <sheetPr codeName="Sheet30">
    <tabColor theme="1" tint="0.34998626667073579"/>
  </sheetPr>
  <dimension ref="A1:AG140"/>
  <sheetViews>
    <sheetView showGridLines="0" showRowColHeaders="0" zoomScaleNormal="100" workbookViewId="0"/>
  </sheetViews>
  <sheetFormatPr defaultColWidth="0" defaultRowHeight="12" zeroHeight="1"/>
  <cols>
    <col min="1" max="1" width="11.42578125" style="34" customWidth="1"/>
    <col min="2" max="5" width="10.7109375" style="34" customWidth="1"/>
    <col min="6" max="6" width="10.7109375" style="55" customWidth="1"/>
    <col min="7" max="7" width="11.85546875" style="34" customWidth="1"/>
    <col min="8" max="11" width="10.7109375" style="34" customWidth="1"/>
    <col min="12" max="13" width="10.7109375" style="34" hidden="1" customWidth="1"/>
    <col min="14" max="33" width="9.7109375" style="34" hidden="1" customWidth="1"/>
    <col min="34" max="16384" width="0" style="34" hidden="1"/>
  </cols>
  <sheetData>
    <row r="1" spans="1:14" ht="22.9" customHeight="1">
      <c r="A1" s="183">
        <f>'Field Info'!A4</f>
        <v>0</v>
      </c>
      <c r="B1" s="184">
        <f>'1'!$B$2</f>
        <v>0</v>
      </c>
      <c r="C1" s="184">
        <f>'1'!$I$5</f>
        <v>0</v>
      </c>
      <c r="D1" s="184">
        <f>'1'!$I$21</f>
        <v>0</v>
      </c>
      <c r="E1" s="185">
        <f>'1'!$I$36</f>
        <v>0</v>
      </c>
      <c r="F1" s="186"/>
      <c r="G1" s="183">
        <f>'Field Info'!A5</f>
        <v>0</v>
      </c>
      <c r="H1" s="184">
        <f>'2'!$B$2</f>
        <v>0</v>
      </c>
      <c r="I1" s="184">
        <f>'2'!$I$5</f>
        <v>0</v>
      </c>
      <c r="J1" s="184">
        <f>'2'!$I$21</f>
        <v>0</v>
      </c>
      <c r="K1" s="185">
        <f>'2'!$I$36</f>
        <v>0</v>
      </c>
      <c r="L1" s="187"/>
    </row>
    <row r="2" spans="1:14" ht="22.9" customHeight="1">
      <c r="A2" s="188"/>
      <c r="B2" s="189" t="s">
        <v>11</v>
      </c>
      <c r="C2" s="186">
        <f>'1'!$B$5</f>
        <v>0</v>
      </c>
      <c r="D2" s="186">
        <f>'1'!$B$21</f>
        <v>0</v>
      </c>
      <c r="E2" s="190">
        <f>'1'!$B$36</f>
        <v>0</v>
      </c>
      <c r="F2" s="186"/>
      <c r="G2" s="188"/>
      <c r="H2" s="189" t="s">
        <v>11</v>
      </c>
      <c r="I2" s="186">
        <f>'2'!$B$5</f>
        <v>0</v>
      </c>
      <c r="J2" s="186">
        <f>'2'!$B$21</f>
        <v>0</v>
      </c>
      <c r="K2" s="190">
        <f>'2'!$B$36</f>
        <v>0</v>
      </c>
      <c r="L2" s="187"/>
    </row>
    <row r="3" spans="1:14" ht="22.9" customHeight="1">
      <c r="A3" s="191" t="s">
        <v>125</v>
      </c>
      <c r="B3" s="192" t="s">
        <v>124</v>
      </c>
      <c r="C3" s="727" t="s">
        <v>222</v>
      </c>
      <c r="D3" s="728"/>
      <c r="E3" s="729"/>
      <c r="F3" s="193"/>
      <c r="G3" s="191" t="s">
        <v>125</v>
      </c>
      <c r="H3" s="192" t="s">
        <v>124</v>
      </c>
      <c r="I3" s="727" t="s">
        <v>222</v>
      </c>
      <c r="J3" s="728"/>
      <c r="K3" s="729"/>
      <c r="L3" s="187"/>
    </row>
    <row r="4" spans="1:14" ht="22.9" customHeight="1">
      <c r="A4" s="194" t="s">
        <v>123</v>
      </c>
      <c r="B4" s="114"/>
      <c r="C4" s="105">
        <f>'1'!$H$8</f>
        <v>0</v>
      </c>
      <c r="D4" s="105">
        <f>'1'!$H$24</f>
        <v>0</v>
      </c>
      <c r="E4" s="195">
        <f>'1'!$H$39</f>
        <v>0</v>
      </c>
      <c r="F4" s="196"/>
      <c r="G4" s="194" t="s">
        <v>123</v>
      </c>
      <c r="H4" s="121"/>
      <c r="I4" s="105">
        <f>'2'!$H$8</f>
        <v>0</v>
      </c>
      <c r="J4" s="105">
        <f>'2'!$H$24</f>
        <v>0</v>
      </c>
      <c r="K4" s="195">
        <f>'2'!$H$39</f>
        <v>0</v>
      </c>
      <c r="L4" s="187"/>
    </row>
    <row r="5" spans="1:14" ht="22.9" customHeight="1">
      <c r="A5" s="194" t="s">
        <v>75</v>
      </c>
      <c r="B5" s="106" t="str">
        <f>'1'!$I$2</f>
        <v>low</v>
      </c>
      <c r="C5" s="106">
        <f>'1'!$I$8</f>
        <v>0</v>
      </c>
      <c r="D5" s="106">
        <f>'1'!$I$24</f>
        <v>0</v>
      </c>
      <c r="E5" s="197">
        <f>'1'!$I$39</f>
        <v>0</v>
      </c>
      <c r="F5" s="196"/>
      <c r="G5" s="194" t="s">
        <v>75</v>
      </c>
      <c r="H5" s="106" t="str">
        <f>'2'!$I$2</f>
        <v>low</v>
      </c>
      <c r="I5" s="106">
        <f>'2'!$I$8</f>
        <v>0</v>
      </c>
      <c r="J5" s="106">
        <f>'2'!$I$24</f>
        <v>0</v>
      </c>
      <c r="K5" s="197">
        <f>'2'!$I$39</f>
        <v>0</v>
      </c>
      <c r="L5" s="187"/>
    </row>
    <row r="6" spans="1:14" ht="22.9" customHeight="1">
      <c r="A6" s="194" t="s">
        <v>23</v>
      </c>
      <c r="B6" s="107">
        <f>'1'!$J$2</f>
        <v>0</v>
      </c>
      <c r="C6" s="107">
        <f>'1'!$J$8</f>
        <v>0</v>
      </c>
      <c r="D6" s="107">
        <f>'1'!$J$24</f>
        <v>0</v>
      </c>
      <c r="E6" s="198">
        <f>'1'!$J$39</f>
        <v>0</v>
      </c>
      <c r="F6" s="196"/>
      <c r="G6" s="194" t="s">
        <v>23</v>
      </c>
      <c r="H6" s="107">
        <f>'2'!$J$2</f>
        <v>0</v>
      </c>
      <c r="I6" s="107">
        <f>'2'!$J$8</f>
        <v>0</v>
      </c>
      <c r="J6" s="107">
        <f>'2'!$J$24</f>
        <v>0</v>
      </c>
      <c r="K6" s="198">
        <f>'2'!$J$39</f>
        <v>0</v>
      </c>
      <c r="L6" s="187"/>
    </row>
    <row r="7" spans="1:14" ht="22.9" customHeight="1">
      <c r="A7" s="194" t="s">
        <v>5</v>
      </c>
      <c r="B7" s="199">
        <f>'1'!$K$2</f>
        <v>0</v>
      </c>
      <c r="C7" s="108"/>
      <c r="D7" s="108"/>
      <c r="E7" s="109"/>
      <c r="F7" s="196"/>
      <c r="G7" s="194" t="s">
        <v>5</v>
      </c>
      <c r="H7" s="199">
        <f>'2'!$K$2</f>
        <v>0</v>
      </c>
      <c r="I7" s="108"/>
      <c r="J7" s="108"/>
      <c r="K7" s="109"/>
      <c r="L7" s="187"/>
    </row>
    <row r="8" spans="1:14" ht="22.9" customHeight="1">
      <c r="A8" s="194" t="s">
        <v>4</v>
      </c>
      <c r="B8" s="200">
        <f>'1'!$L$2</f>
        <v>0</v>
      </c>
      <c r="C8" s="110"/>
      <c r="D8" s="110"/>
      <c r="E8" s="111"/>
      <c r="F8" s="196"/>
      <c r="G8" s="194" t="s">
        <v>4</v>
      </c>
      <c r="H8" s="200">
        <f>'2'!$L$2</f>
        <v>0</v>
      </c>
      <c r="I8" s="110"/>
      <c r="J8" s="110"/>
      <c r="K8" s="111"/>
      <c r="L8" s="187"/>
    </row>
    <row r="9" spans="1:14" ht="22.9" customHeight="1" thickBot="1">
      <c r="A9" s="201" t="s">
        <v>8</v>
      </c>
      <c r="B9" s="202">
        <f>'1'!$G$2</f>
        <v>0</v>
      </c>
      <c r="C9" s="112"/>
      <c r="D9" s="112"/>
      <c r="E9" s="113"/>
      <c r="F9" s="203"/>
      <c r="G9" s="201" t="s">
        <v>8</v>
      </c>
      <c r="H9" s="202">
        <f>'2'!$G$2</f>
        <v>0</v>
      </c>
      <c r="I9" s="112"/>
      <c r="J9" s="112"/>
      <c r="K9" s="113"/>
      <c r="L9" s="187"/>
    </row>
    <row r="10" spans="1:14" ht="22.9" customHeight="1" thickBot="1">
      <c r="A10" s="115" t="s">
        <v>122</v>
      </c>
      <c r="B10" s="116"/>
      <c r="C10" s="204" t="str">
        <f>('1'!C16&amp;" "&amp;'1'!B16)</f>
        <v xml:space="preserve"> </v>
      </c>
      <c r="D10" s="204" t="str">
        <f>('1'!C31&amp;" "&amp;'1'!B31)</f>
        <v xml:space="preserve"> </v>
      </c>
      <c r="E10" s="204" t="str">
        <f>('1'!C46&amp;" "&amp;'1'!B46)</f>
        <v xml:space="preserve"> </v>
      </c>
      <c r="F10" s="205"/>
      <c r="G10" s="115" t="s">
        <v>122</v>
      </c>
      <c r="H10" s="116"/>
      <c r="I10" s="204" t="str">
        <f>('2'!C16&amp;" "&amp;'2'!B16)</f>
        <v xml:space="preserve"> </v>
      </c>
      <c r="J10" s="204" t="str">
        <f>('2'!C31&amp;" "&amp;'2'!B31)</f>
        <v xml:space="preserve"> </v>
      </c>
      <c r="K10" s="204" t="str">
        <f>('2'!C46&amp;" "&amp;'2'!B46)</f>
        <v xml:space="preserve"> </v>
      </c>
      <c r="L10" s="187"/>
    </row>
    <row r="11" spans="1:14" ht="22.9" customHeight="1" thickBot="1">
      <c r="A11" s="117" t="s">
        <v>81</v>
      </c>
      <c r="B11" s="118"/>
      <c r="C11" s="204" t="str">
        <f>('1'!C17&amp;" "&amp;'1'!B17)</f>
        <v xml:space="preserve"> </v>
      </c>
      <c r="D11" s="204" t="str">
        <f>('1'!C32&amp;" "&amp;'1'!B32)</f>
        <v xml:space="preserve"> </v>
      </c>
      <c r="E11" s="204" t="str">
        <f>('1'!C47&amp;" "&amp;'1'!B47)</f>
        <v xml:space="preserve"> </v>
      </c>
      <c r="F11" s="205"/>
      <c r="G11" s="117" t="s">
        <v>81</v>
      </c>
      <c r="H11" s="118"/>
      <c r="I11" s="204" t="str">
        <f>('2'!C17&amp;" "&amp;'2'!B17)</f>
        <v xml:space="preserve"> </v>
      </c>
      <c r="J11" s="204" t="str">
        <f>('2'!C32&amp;" "&amp;'2'!B32)</f>
        <v xml:space="preserve"> </v>
      </c>
      <c r="K11" s="204" t="str">
        <f>('2'!C47&amp;" "&amp;'2'!B47)</f>
        <v xml:space="preserve"> </v>
      </c>
      <c r="L11" s="187"/>
    </row>
    <row r="12" spans="1:14" ht="22.9" customHeight="1" thickBot="1">
      <c r="A12" s="117" t="s">
        <v>83</v>
      </c>
      <c r="B12" s="118"/>
      <c r="C12" s="204" t="str">
        <f>('1'!C18&amp;" "&amp;'1'!B18)</f>
        <v xml:space="preserve"> </v>
      </c>
      <c r="D12" s="204" t="str">
        <f>('1'!C33&amp;" "&amp;'1'!B33)</f>
        <v xml:space="preserve"> </v>
      </c>
      <c r="E12" s="204" t="str">
        <f>('1'!C48&amp;" "&amp;'1'!B48)</f>
        <v xml:space="preserve"> </v>
      </c>
      <c r="F12" s="205"/>
      <c r="G12" s="117" t="s">
        <v>83</v>
      </c>
      <c r="H12" s="118"/>
      <c r="I12" s="204" t="str">
        <f>('2'!C18&amp;" "&amp;'2'!B18)</f>
        <v xml:space="preserve"> </v>
      </c>
      <c r="J12" s="204" t="str">
        <f>('2'!C33&amp;" "&amp;'2'!B33)</f>
        <v xml:space="preserve"> </v>
      </c>
      <c r="K12" s="204" t="str">
        <f>('2'!C48&amp;" "&amp;'2'!B48)</f>
        <v xml:space="preserve"> </v>
      </c>
      <c r="L12" s="187"/>
    </row>
    <row r="13" spans="1:14" ht="22.9" customHeight="1" thickBot="1">
      <c r="A13" s="119" t="s">
        <v>82</v>
      </c>
      <c r="B13" s="120"/>
      <c r="C13" s="204" t="str">
        <f>('1'!C19&amp;" "&amp;'1'!B19)</f>
        <v xml:space="preserve"> </v>
      </c>
      <c r="D13" s="204" t="str">
        <f>('1'!C34&amp;" "&amp;'1'!B34)</f>
        <v xml:space="preserve"> </v>
      </c>
      <c r="E13" s="204" t="str">
        <f>('1'!C49&amp;" "&amp;'1'!B49)</f>
        <v xml:space="preserve"> </v>
      </c>
      <c r="F13" s="206"/>
      <c r="G13" s="119" t="s">
        <v>82</v>
      </c>
      <c r="H13" s="120"/>
      <c r="I13" s="204" t="str">
        <f>('2'!C19&amp;" "&amp;'2'!B19)</f>
        <v xml:space="preserve"> </v>
      </c>
      <c r="J13" s="204" t="str">
        <f>('2'!C34&amp;" "&amp;'2'!B34)</f>
        <v xml:space="preserve"> </v>
      </c>
      <c r="K13" s="204" t="str">
        <f>('2'!C49&amp;" "&amp;'2'!B49)</f>
        <v xml:space="preserve"> </v>
      </c>
      <c r="L13" s="187"/>
    </row>
    <row r="14" spans="1:14" ht="22.9" customHeight="1" thickBot="1">
      <c r="A14" s="187"/>
      <c r="B14" s="187"/>
      <c r="C14" s="187"/>
      <c r="D14" s="187"/>
      <c r="E14" s="187"/>
      <c r="F14" s="207"/>
      <c r="G14" s="208"/>
      <c r="H14" s="209"/>
      <c r="I14" s="209"/>
      <c r="J14" s="209"/>
      <c r="K14" s="209"/>
      <c r="L14" s="187"/>
    </row>
    <row r="15" spans="1:14" ht="22.9" customHeight="1">
      <c r="A15" s="183">
        <f>'Field Info'!A6</f>
        <v>0</v>
      </c>
      <c r="B15" s="184">
        <f>'3'!$B$2</f>
        <v>0</v>
      </c>
      <c r="C15" s="184">
        <f>'3'!$I$5</f>
        <v>0</v>
      </c>
      <c r="D15" s="184">
        <f>'3'!$I$21</f>
        <v>0</v>
      </c>
      <c r="E15" s="185">
        <f>'3'!$I$36</f>
        <v>0</v>
      </c>
      <c r="F15" s="210"/>
      <c r="G15" s="183">
        <f>'Field Info'!A7</f>
        <v>0</v>
      </c>
      <c r="H15" s="184">
        <f>'4'!$B$2</f>
        <v>0</v>
      </c>
      <c r="I15" s="184">
        <f>'4'!$I$5</f>
        <v>0</v>
      </c>
      <c r="J15" s="184">
        <f>'4'!$I$21</f>
        <v>0</v>
      </c>
      <c r="K15" s="185">
        <f>'4'!$I$36</f>
        <v>0</v>
      </c>
      <c r="L15" s="211"/>
      <c r="M15" s="56"/>
      <c r="N15" s="56"/>
    </row>
    <row r="16" spans="1:14" ht="22.9" customHeight="1">
      <c r="A16" s="188"/>
      <c r="B16" s="189" t="s">
        <v>11</v>
      </c>
      <c r="C16" s="186">
        <f>'3'!$B$5</f>
        <v>0</v>
      </c>
      <c r="D16" s="186">
        <f>'3'!$B$21</f>
        <v>0</v>
      </c>
      <c r="E16" s="190">
        <f>'3'!$B$36</f>
        <v>0</v>
      </c>
      <c r="F16" s="210"/>
      <c r="G16" s="188"/>
      <c r="H16" s="189" t="s">
        <v>11</v>
      </c>
      <c r="I16" s="186">
        <f>'4'!$B$5</f>
        <v>0</v>
      </c>
      <c r="J16" s="186">
        <f>'4'!$B$21</f>
        <v>0</v>
      </c>
      <c r="K16" s="190">
        <f>'4'!$B$36</f>
        <v>0</v>
      </c>
      <c r="L16" s="211"/>
      <c r="M16" s="56"/>
      <c r="N16" s="56"/>
    </row>
    <row r="17" spans="1:14" ht="22.9" customHeight="1">
      <c r="A17" s="191" t="s">
        <v>125</v>
      </c>
      <c r="B17" s="192" t="s">
        <v>124</v>
      </c>
      <c r="C17" s="727" t="s">
        <v>222</v>
      </c>
      <c r="D17" s="728"/>
      <c r="E17" s="729"/>
      <c r="F17" s="210"/>
      <c r="G17" s="191" t="s">
        <v>125</v>
      </c>
      <c r="H17" s="192" t="s">
        <v>124</v>
      </c>
      <c r="I17" s="727" t="s">
        <v>222</v>
      </c>
      <c r="J17" s="728"/>
      <c r="K17" s="729"/>
      <c r="L17" s="211"/>
      <c r="M17" s="56"/>
      <c r="N17" s="56"/>
    </row>
    <row r="18" spans="1:14" ht="22.9" customHeight="1">
      <c r="A18" s="194" t="s">
        <v>123</v>
      </c>
      <c r="B18" s="121"/>
      <c r="C18" s="105">
        <f>'3'!$H$8</f>
        <v>0</v>
      </c>
      <c r="D18" s="105">
        <f>'3'!$H$24</f>
        <v>0</v>
      </c>
      <c r="E18" s="195">
        <f>'3'!$H$39</f>
        <v>0</v>
      </c>
      <c r="F18" s="210"/>
      <c r="G18" s="194" t="s">
        <v>123</v>
      </c>
      <c r="H18" s="121"/>
      <c r="I18" s="105">
        <f>'4'!$H$8</f>
        <v>0</v>
      </c>
      <c r="J18" s="105">
        <f>'4'!$H$24</f>
        <v>0</v>
      </c>
      <c r="K18" s="195">
        <f>'4'!$H$39</f>
        <v>0</v>
      </c>
      <c r="L18" s="211"/>
      <c r="M18" s="56"/>
      <c r="N18" s="56"/>
    </row>
    <row r="19" spans="1:14" ht="22.9" customHeight="1">
      <c r="A19" s="194" t="s">
        <v>75</v>
      </c>
      <c r="B19" s="106" t="str">
        <f>'3'!$I$2</f>
        <v>low</v>
      </c>
      <c r="C19" s="106">
        <f>'3'!$I$8</f>
        <v>0</v>
      </c>
      <c r="D19" s="106">
        <f>'3'!$I$24</f>
        <v>0</v>
      </c>
      <c r="E19" s="197">
        <f>'3'!$I$39</f>
        <v>0</v>
      </c>
      <c r="F19" s="210"/>
      <c r="G19" s="194" t="s">
        <v>75</v>
      </c>
      <c r="H19" s="106" t="str">
        <f>'4'!$I$2</f>
        <v>low</v>
      </c>
      <c r="I19" s="106">
        <f>'4'!$I$8</f>
        <v>0</v>
      </c>
      <c r="J19" s="106">
        <f>'4'!$I$24</f>
        <v>0</v>
      </c>
      <c r="K19" s="197">
        <f>'4'!$I$39</f>
        <v>0</v>
      </c>
      <c r="L19" s="211"/>
      <c r="M19" s="56"/>
      <c r="N19" s="56"/>
    </row>
    <row r="20" spans="1:14" ht="22.9" customHeight="1">
      <c r="A20" s="194" t="s">
        <v>23</v>
      </c>
      <c r="B20" s="107">
        <f>'3'!$J$2</f>
        <v>0</v>
      </c>
      <c r="C20" s="107">
        <f>'3'!$J$8</f>
        <v>0</v>
      </c>
      <c r="D20" s="107">
        <f>'3'!$J$24</f>
        <v>0</v>
      </c>
      <c r="E20" s="198">
        <f>'3'!$J$39</f>
        <v>0</v>
      </c>
      <c r="F20" s="210"/>
      <c r="G20" s="194" t="s">
        <v>23</v>
      </c>
      <c r="H20" s="107">
        <f>'4'!$J$2</f>
        <v>0</v>
      </c>
      <c r="I20" s="107">
        <f>'4'!$J$8</f>
        <v>0</v>
      </c>
      <c r="J20" s="107">
        <f>'4'!$J$24</f>
        <v>0</v>
      </c>
      <c r="K20" s="198">
        <f>'4'!$J$39</f>
        <v>0</v>
      </c>
      <c r="L20" s="211"/>
      <c r="M20" s="56"/>
      <c r="N20" s="56"/>
    </row>
    <row r="21" spans="1:14" ht="22.9" customHeight="1">
      <c r="A21" s="194" t="s">
        <v>5</v>
      </c>
      <c r="B21" s="108">
        <f>'3'!$K$2</f>
        <v>0</v>
      </c>
      <c r="C21" s="108"/>
      <c r="D21" s="108"/>
      <c r="E21" s="109"/>
      <c r="F21" s="210"/>
      <c r="G21" s="194" t="s">
        <v>5</v>
      </c>
      <c r="H21" s="199">
        <f>'4'!$K$2</f>
        <v>0</v>
      </c>
      <c r="I21" s="108"/>
      <c r="J21" s="108"/>
      <c r="K21" s="109"/>
      <c r="L21" s="211"/>
      <c r="M21" s="56"/>
      <c r="N21" s="56"/>
    </row>
    <row r="22" spans="1:14" ht="22.9" customHeight="1">
      <c r="A22" s="194" t="s">
        <v>4</v>
      </c>
      <c r="B22" s="200">
        <f>'3'!$L$2</f>
        <v>0</v>
      </c>
      <c r="C22" s="110"/>
      <c r="D22" s="110"/>
      <c r="E22" s="111"/>
      <c r="F22" s="210"/>
      <c r="G22" s="194" t="s">
        <v>4</v>
      </c>
      <c r="H22" s="200">
        <f>'4'!$L$2</f>
        <v>0</v>
      </c>
      <c r="I22" s="110"/>
      <c r="J22" s="110"/>
      <c r="K22" s="111"/>
      <c r="L22" s="211"/>
      <c r="M22" s="56"/>
      <c r="N22" s="56"/>
    </row>
    <row r="23" spans="1:14" ht="22.9" customHeight="1" thickBot="1">
      <c r="A23" s="201" t="s">
        <v>8</v>
      </c>
      <c r="B23" s="202">
        <f>'3'!$G$2</f>
        <v>0</v>
      </c>
      <c r="C23" s="112"/>
      <c r="D23" s="112"/>
      <c r="E23" s="113"/>
      <c r="F23" s="210"/>
      <c r="G23" s="201" t="s">
        <v>8</v>
      </c>
      <c r="H23" s="202">
        <f>'4'!$G$2</f>
        <v>0</v>
      </c>
      <c r="I23" s="112"/>
      <c r="J23" s="112"/>
      <c r="K23" s="113"/>
      <c r="L23" s="211"/>
      <c r="M23" s="56"/>
      <c r="N23" s="56"/>
    </row>
    <row r="24" spans="1:14" ht="22.9" customHeight="1" thickBot="1">
      <c r="A24" s="115" t="s">
        <v>122</v>
      </c>
      <c r="B24" s="116"/>
      <c r="C24" s="204" t="str">
        <f>('3'!C16&amp;" "&amp;'3'!B16)</f>
        <v xml:space="preserve"> </v>
      </c>
      <c r="D24" s="204" t="str">
        <f>('3'!C31&amp;" "&amp;'3'!B31)</f>
        <v xml:space="preserve"> </v>
      </c>
      <c r="E24" s="204" t="str">
        <f>('3'!C46&amp;" "&amp;'3'!B46)</f>
        <v xml:space="preserve"> </v>
      </c>
      <c r="F24" s="210"/>
      <c r="G24" s="115" t="s">
        <v>122</v>
      </c>
      <c r="H24" s="116"/>
      <c r="I24" s="204" t="str">
        <f>('4'!C16&amp;" "&amp;'4'!B16)</f>
        <v xml:space="preserve"> </v>
      </c>
      <c r="J24" s="204" t="str">
        <f>('4'!C31&amp;" "&amp;'4'!B31)</f>
        <v xml:space="preserve"> </v>
      </c>
      <c r="K24" s="204" t="str">
        <f>('4'!C46&amp;" "&amp;'4'!B46)</f>
        <v xml:space="preserve"> </v>
      </c>
      <c r="L24" s="211"/>
      <c r="M24" s="56"/>
      <c r="N24" s="56"/>
    </row>
    <row r="25" spans="1:14" ht="22.9" customHeight="1" thickBot="1">
      <c r="A25" s="117" t="s">
        <v>81</v>
      </c>
      <c r="B25" s="118"/>
      <c r="C25" s="204" t="str">
        <f>('3'!C17&amp;" "&amp;'3'!B17)</f>
        <v xml:space="preserve"> </v>
      </c>
      <c r="D25" s="204" t="str">
        <f>('3'!C32&amp;" "&amp;'3'!B32)</f>
        <v xml:space="preserve"> </v>
      </c>
      <c r="E25" s="204" t="str">
        <f>('3'!C47&amp;" "&amp;'3'!B47)</f>
        <v xml:space="preserve"> </v>
      </c>
      <c r="F25" s="210"/>
      <c r="G25" s="117" t="s">
        <v>81</v>
      </c>
      <c r="H25" s="118"/>
      <c r="I25" s="204" t="str">
        <f>('4'!C17&amp;" "&amp;'4'!B17)</f>
        <v xml:space="preserve"> </v>
      </c>
      <c r="J25" s="204" t="str">
        <f>('4'!C32&amp;" "&amp;'4'!B32)</f>
        <v xml:space="preserve"> </v>
      </c>
      <c r="K25" s="204" t="str">
        <f>('4'!C47&amp;" "&amp;'4'!B47)</f>
        <v xml:space="preserve"> </v>
      </c>
      <c r="L25" s="211"/>
      <c r="M25" s="56"/>
      <c r="N25" s="56"/>
    </row>
    <row r="26" spans="1:14" ht="22.9" customHeight="1" thickBot="1">
      <c r="A26" s="117" t="s">
        <v>83</v>
      </c>
      <c r="B26" s="118"/>
      <c r="C26" s="204" t="str">
        <f>('3'!C18&amp;" "&amp;'3'!B18)</f>
        <v xml:space="preserve"> </v>
      </c>
      <c r="D26" s="204" t="str">
        <f>('3'!C33&amp;" "&amp;'3'!B33)</f>
        <v xml:space="preserve"> </v>
      </c>
      <c r="E26" s="204" t="str">
        <f>('3'!C48&amp;" "&amp;'3'!B48)</f>
        <v xml:space="preserve"> </v>
      </c>
      <c r="F26" s="210"/>
      <c r="G26" s="117" t="s">
        <v>83</v>
      </c>
      <c r="H26" s="118"/>
      <c r="I26" s="204" t="str">
        <f>('4'!C18&amp;" "&amp;'4'!B18)</f>
        <v xml:space="preserve"> </v>
      </c>
      <c r="J26" s="204" t="str">
        <f>('4'!C33&amp;" "&amp;'4'!B33)</f>
        <v xml:space="preserve"> </v>
      </c>
      <c r="K26" s="204" t="str">
        <f>('4'!C48&amp;" "&amp;'4'!B48)</f>
        <v xml:space="preserve"> </v>
      </c>
      <c r="L26" s="211"/>
      <c r="M26" s="56"/>
      <c r="N26" s="56"/>
    </row>
    <row r="27" spans="1:14" ht="22.9" customHeight="1" thickBot="1">
      <c r="A27" s="119" t="s">
        <v>82</v>
      </c>
      <c r="B27" s="120"/>
      <c r="C27" s="204" t="str">
        <f>('3'!C19&amp;" "&amp;'3'!B19)</f>
        <v xml:space="preserve"> </v>
      </c>
      <c r="D27" s="204" t="str">
        <f>('3'!C34&amp;" "&amp;'3'!B34)</f>
        <v xml:space="preserve"> </v>
      </c>
      <c r="E27" s="204" t="str">
        <f>('3'!C49&amp;" "&amp;'3'!B49)</f>
        <v xml:space="preserve"> </v>
      </c>
      <c r="F27" s="210"/>
      <c r="G27" s="119" t="s">
        <v>82</v>
      </c>
      <c r="H27" s="120"/>
      <c r="I27" s="204" t="str">
        <f>('4'!C19&amp;" "&amp;'4'!B19)</f>
        <v xml:space="preserve"> </v>
      </c>
      <c r="J27" s="204" t="str">
        <f>('4'!C34&amp;" "&amp;'4'!B34)</f>
        <v xml:space="preserve"> </v>
      </c>
      <c r="K27" s="204" t="str">
        <f>('4'!C49&amp;" "&amp;'4'!B49)</f>
        <v xml:space="preserve"> </v>
      </c>
      <c r="L27" s="211"/>
      <c r="M27" s="56"/>
      <c r="N27" s="56"/>
    </row>
    <row r="28" spans="1:14" ht="22.9" customHeight="1" thickBot="1">
      <c r="A28" s="187"/>
      <c r="B28" s="187"/>
      <c r="C28" s="187"/>
      <c r="D28" s="187"/>
      <c r="E28" s="187"/>
      <c r="F28" s="210"/>
      <c r="G28" s="187"/>
      <c r="H28" s="187"/>
      <c r="I28" s="187"/>
      <c r="J28" s="187"/>
      <c r="K28" s="187"/>
      <c r="L28" s="187"/>
    </row>
    <row r="29" spans="1:14" ht="22.9" customHeight="1">
      <c r="A29" s="183">
        <f>'Field Info'!A8</f>
        <v>0</v>
      </c>
      <c r="B29" s="184">
        <f>'5'!$B$2</f>
        <v>0</v>
      </c>
      <c r="C29" s="184">
        <f>'5'!$I$5</f>
        <v>0</v>
      </c>
      <c r="D29" s="184">
        <f>'5'!$I$21</f>
        <v>0</v>
      </c>
      <c r="E29" s="185">
        <f>'5'!$I$36</f>
        <v>0</v>
      </c>
      <c r="F29" s="210"/>
      <c r="G29" s="183">
        <f>'Field Info'!A9</f>
        <v>0</v>
      </c>
      <c r="H29" s="184">
        <f>'6'!$B$2</f>
        <v>0</v>
      </c>
      <c r="I29" s="184">
        <f>'6'!$I$5</f>
        <v>0</v>
      </c>
      <c r="J29" s="184">
        <f>'6'!$I$21</f>
        <v>0</v>
      </c>
      <c r="K29" s="185">
        <f>'6'!$I$36</f>
        <v>0</v>
      </c>
      <c r="L29" s="187"/>
    </row>
    <row r="30" spans="1:14" ht="22.9" customHeight="1">
      <c r="A30" s="188"/>
      <c r="B30" s="189" t="s">
        <v>11</v>
      </c>
      <c r="C30" s="186">
        <f>'5'!$B$5</f>
        <v>0</v>
      </c>
      <c r="D30" s="186">
        <f>'5'!$B$21</f>
        <v>0</v>
      </c>
      <c r="E30" s="190">
        <f>'5'!$B$36</f>
        <v>0</v>
      </c>
      <c r="F30" s="210"/>
      <c r="G30" s="188"/>
      <c r="H30" s="189" t="s">
        <v>11</v>
      </c>
      <c r="I30" s="186">
        <f>'6'!$B$5</f>
        <v>0</v>
      </c>
      <c r="J30" s="186">
        <f>'6'!$B$21</f>
        <v>0</v>
      </c>
      <c r="K30" s="190">
        <f>'6'!$B$36</f>
        <v>0</v>
      </c>
      <c r="L30" s="187"/>
    </row>
    <row r="31" spans="1:14" ht="22.9" customHeight="1">
      <c r="A31" s="191" t="s">
        <v>125</v>
      </c>
      <c r="B31" s="192" t="s">
        <v>124</v>
      </c>
      <c r="C31" s="727" t="s">
        <v>222</v>
      </c>
      <c r="D31" s="728"/>
      <c r="E31" s="729"/>
      <c r="F31" s="210"/>
      <c r="G31" s="191" t="s">
        <v>125</v>
      </c>
      <c r="H31" s="192" t="s">
        <v>124</v>
      </c>
      <c r="I31" s="727" t="s">
        <v>222</v>
      </c>
      <c r="J31" s="728"/>
      <c r="K31" s="729"/>
      <c r="L31" s="187"/>
    </row>
    <row r="32" spans="1:14" ht="22.9" customHeight="1">
      <c r="A32" s="194" t="s">
        <v>123</v>
      </c>
      <c r="B32" s="121"/>
      <c r="C32" s="105">
        <f>'5'!$H$8</f>
        <v>0</v>
      </c>
      <c r="D32" s="105">
        <f>'5'!$H$24</f>
        <v>0</v>
      </c>
      <c r="E32" s="195">
        <f>'5'!$H$39</f>
        <v>0</v>
      </c>
      <c r="F32" s="210"/>
      <c r="G32" s="194" t="s">
        <v>123</v>
      </c>
      <c r="H32" s="121"/>
      <c r="I32" s="105">
        <f>'6'!$H$8</f>
        <v>0</v>
      </c>
      <c r="J32" s="105">
        <f>'6'!$H$24</f>
        <v>0</v>
      </c>
      <c r="K32" s="195">
        <f>'6'!$H$39</f>
        <v>0</v>
      </c>
      <c r="L32" s="187"/>
    </row>
    <row r="33" spans="1:12" ht="22.9" customHeight="1">
      <c r="A33" s="194" t="s">
        <v>75</v>
      </c>
      <c r="B33" s="106" t="str">
        <f>'5'!$I$2</f>
        <v>low</v>
      </c>
      <c r="C33" s="106">
        <f>'5'!$I$8</f>
        <v>0</v>
      </c>
      <c r="D33" s="106">
        <f>'5'!$I$24</f>
        <v>0</v>
      </c>
      <c r="E33" s="197">
        <f>'5'!$I$39</f>
        <v>0</v>
      </c>
      <c r="F33" s="210"/>
      <c r="G33" s="194" t="s">
        <v>75</v>
      </c>
      <c r="H33" s="106" t="str">
        <f>'6'!$I$2</f>
        <v>low</v>
      </c>
      <c r="I33" s="106">
        <f>'6'!$I$8</f>
        <v>0</v>
      </c>
      <c r="J33" s="106">
        <f>'6'!$I$24</f>
        <v>0</v>
      </c>
      <c r="K33" s="197">
        <f>'6'!$I$39</f>
        <v>0</v>
      </c>
      <c r="L33" s="187"/>
    </row>
    <row r="34" spans="1:12" ht="22.9" customHeight="1">
      <c r="A34" s="194" t="s">
        <v>23</v>
      </c>
      <c r="B34" s="107">
        <f>'5'!$J$2</f>
        <v>0</v>
      </c>
      <c r="C34" s="107">
        <f>'5'!$J$8</f>
        <v>0</v>
      </c>
      <c r="D34" s="107">
        <f>'5'!$J$24</f>
        <v>0</v>
      </c>
      <c r="E34" s="198">
        <f>'5'!$J$39</f>
        <v>0</v>
      </c>
      <c r="F34" s="210"/>
      <c r="G34" s="194" t="s">
        <v>23</v>
      </c>
      <c r="H34" s="107">
        <f>'6'!$J$2</f>
        <v>0</v>
      </c>
      <c r="I34" s="107">
        <f>'6'!$J$8</f>
        <v>0</v>
      </c>
      <c r="J34" s="107">
        <f>'6'!$J$24</f>
        <v>0</v>
      </c>
      <c r="K34" s="198">
        <f>'6'!$J$39</f>
        <v>0</v>
      </c>
      <c r="L34" s="187"/>
    </row>
    <row r="35" spans="1:12" ht="22.9" customHeight="1">
      <c r="A35" s="194" t="s">
        <v>5</v>
      </c>
      <c r="B35" s="199">
        <f>'5'!$K$2</f>
        <v>0</v>
      </c>
      <c r="C35" s="108"/>
      <c r="D35" s="108"/>
      <c r="E35" s="109"/>
      <c r="F35" s="210"/>
      <c r="G35" s="194" t="s">
        <v>5</v>
      </c>
      <c r="H35" s="199">
        <f>'6'!$K$2</f>
        <v>0</v>
      </c>
      <c r="I35" s="108"/>
      <c r="J35" s="108"/>
      <c r="K35" s="109"/>
      <c r="L35" s="187"/>
    </row>
    <row r="36" spans="1:12" ht="22.9" customHeight="1">
      <c r="A36" s="194" t="s">
        <v>4</v>
      </c>
      <c r="B36" s="200">
        <f>'5'!$L$2</f>
        <v>0</v>
      </c>
      <c r="C36" s="110"/>
      <c r="D36" s="110"/>
      <c r="E36" s="111"/>
      <c r="F36" s="210"/>
      <c r="G36" s="194" t="s">
        <v>4</v>
      </c>
      <c r="H36" s="200">
        <f>'6'!$L$2</f>
        <v>0</v>
      </c>
      <c r="I36" s="110"/>
      <c r="J36" s="110"/>
      <c r="K36" s="111"/>
      <c r="L36" s="187"/>
    </row>
    <row r="37" spans="1:12" ht="22.9" customHeight="1" thickBot="1">
      <c r="A37" s="201" t="s">
        <v>8</v>
      </c>
      <c r="B37" s="202">
        <f>'5'!$G$2</f>
        <v>0</v>
      </c>
      <c r="C37" s="112"/>
      <c r="D37" s="112"/>
      <c r="E37" s="113"/>
      <c r="F37" s="206"/>
      <c r="G37" s="201" t="s">
        <v>8</v>
      </c>
      <c r="H37" s="202">
        <f>'6'!$G$2</f>
        <v>0</v>
      </c>
      <c r="I37" s="112"/>
      <c r="J37" s="112"/>
      <c r="K37" s="113"/>
      <c r="L37" s="187"/>
    </row>
    <row r="38" spans="1:12" ht="22.9" customHeight="1" thickBot="1">
      <c r="A38" s="115" t="s">
        <v>122</v>
      </c>
      <c r="B38" s="116"/>
      <c r="C38" s="204" t="str">
        <f>('5'!C16&amp;" "&amp;'5'!B16)</f>
        <v xml:space="preserve"> </v>
      </c>
      <c r="D38" s="204" t="str">
        <f>('5'!C31&amp;" "&amp;'5'!B31)</f>
        <v xml:space="preserve"> </v>
      </c>
      <c r="E38" s="204" t="str">
        <f>('5'!C46&amp;" "&amp;'5'!B46)</f>
        <v xml:space="preserve"> </v>
      </c>
      <c r="F38" s="206"/>
      <c r="G38" s="115" t="s">
        <v>122</v>
      </c>
      <c r="H38" s="116"/>
      <c r="I38" s="204" t="str">
        <f>('6'!C16&amp;" "&amp;'6'!B16)</f>
        <v xml:space="preserve"> </v>
      </c>
      <c r="J38" s="204" t="str">
        <f>('6'!C31&amp;" "&amp;'6'!B31)</f>
        <v xml:space="preserve"> </v>
      </c>
      <c r="K38" s="204" t="str">
        <f>('6'!C46&amp;" "&amp;'6'!B46)</f>
        <v xml:space="preserve"> </v>
      </c>
      <c r="L38" s="187"/>
    </row>
    <row r="39" spans="1:12" ht="22.9" customHeight="1" thickBot="1">
      <c r="A39" s="117" t="s">
        <v>81</v>
      </c>
      <c r="B39" s="118"/>
      <c r="C39" s="204" t="str">
        <f>('5'!C17&amp;" "&amp;'5'!B17)</f>
        <v xml:space="preserve"> </v>
      </c>
      <c r="D39" s="204" t="str">
        <f>('5'!C32&amp;" "&amp;'5'!B32)</f>
        <v xml:space="preserve"> </v>
      </c>
      <c r="E39" s="204" t="str">
        <f>('5'!C47&amp;" "&amp;'5'!B47)</f>
        <v xml:space="preserve"> </v>
      </c>
      <c r="F39" s="206"/>
      <c r="G39" s="117" t="s">
        <v>81</v>
      </c>
      <c r="H39" s="118"/>
      <c r="I39" s="204" t="str">
        <f>('6'!C17&amp;" "&amp;'6'!B17)</f>
        <v xml:space="preserve"> </v>
      </c>
      <c r="J39" s="204" t="str">
        <f>('6'!C32&amp;" "&amp;'6'!B32)</f>
        <v xml:space="preserve"> </v>
      </c>
      <c r="K39" s="204" t="str">
        <f>('6'!C47&amp;" "&amp;'6'!B47)</f>
        <v xml:space="preserve"> </v>
      </c>
      <c r="L39" s="187"/>
    </row>
    <row r="40" spans="1:12" ht="22.9" customHeight="1" thickBot="1">
      <c r="A40" s="117" t="s">
        <v>83</v>
      </c>
      <c r="B40" s="118"/>
      <c r="C40" s="204" t="str">
        <f>('5'!C18&amp;" "&amp;'5'!B18)</f>
        <v xml:space="preserve"> </v>
      </c>
      <c r="D40" s="204" t="str">
        <f>('5'!C33&amp;" "&amp;'5'!B33)</f>
        <v xml:space="preserve"> </v>
      </c>
      <c r="E40" s="204" t="str">
        <f>('5'!C48&amp;" "&amp;'5'!B48)</f>
        <v xml:space="preserve"> </v>
      </c>
      <c r="F40" s="206"/>
      <c r="G40" s="117" t="s">
        <v>83</v>
      </c>
      <c r="H40" s="118"/>
      <c r="I40" s="204" t="str">
        <f>('6'!C18&amp;" "&amp;'6'!B18)</f>
        <v xml:space="preserve"> </v>
      </c>
      <c r="J40" s="204" t="str">
        <f>('6'!C33&amp;" "&amp;'6'!B33)</f>
        <v xml:space="preserve"> </v>
      </c>
      <c r="K40" s="204" t="str">
        <f>('6'!C48&amp;" "&amp;'6'!B48)</f>
        <v xml:space="preserve"> </v>
      </c>
      <c r="L40" s="187"/>
    </row>
    <row r="41" spans="1:12" ht="22.9" customHeight="1" thickBot="1">
      <c r="A41" s="119" t="s">
        <v>82</v>
      </c>
      <c r="B41" s="120"/>
      <c r="C41" s="204" t="str">
        <f>('5'!C19&amp;" "&amp;'5'!B19)</f>
        <v xml:space="preserve"> </v>
      </c>
      <c r="D41" s="204" t="str">
        <f>('5'!C34&amp;" "&amp;'5'!B34)</f>
        <v xml:space="preserve"> </v>
      </c>
      <c r="E41" s="204" t="str">
        <f>('5'!C49&amp;" "&amp;'5'!B49)</f>
        <v xml:space="preserve"> </v>
      </c>
      <c r="F41" s="206"/>
      <c r="G41" s="119" t="s">
        <v>82</v>
      </c>
      <c r="H41" s="120"/>
      <c r="I41" s="204" t="str">
        <f>('6'!C19&amp;" "&amp;'6'!B19)</f>
        <v xml:space="preserve"> </v>
      </c>
      <c r="J41" s="204" t="str">
        <f>('6'!C34&amp;" "&amp;'6'!B34)</f>
        <v xml:space="preserve"> </v>
      </c>
      <c r="K41" s="204" t="str">
        <f>('6'!C49&amp;" "&amp;'6'!B49)</f>
        <v xml:space="preserve"> </v>
      </c>
      <c r="L41" s="187"/>
    </row>
    <row r="42" spans="1:12" ht="22.9" customHeight="1" thickBot="1">
      <c r="A42" s="187"/>
      <c r="B42" s="187"/>
      <c r="C42" s="187"/>
      <c r="D42" s="187"/>
      <c r="E42" s="187"/>
      <c r="F42" s="206"/>
      <c r="G42" s="187"/>
      <c r="H42" s="187"/>
      <c r="I42" s="187"/>
      <c r="J42" s="187"/>
      <c r="K42" s="187"/>
      <c r="L42" s="187"/>
    </row>
    <row r="43" spans="1:12" ht="22.9" customHeight="1">
      <c r="A43" s="183">
        <f>'Field Info'!A10</f>
        <v>0</v>
      </c>
      <c r="B43" s="184">
        <f>'7'!$B$2</f>
        <v>0</v>
      </c>
      <c r="C43" s="184">
        <f>'7'!$I$5</f>
        <v>0</v>
      </c>
      <c r="D43" s="184">
        <f>'7'!$I$21</f>
        <v>0</v>
      </c>
      <c r="E43" s="185">
        <f>'7'!$I$36</f>
        <v>0</v>
      </c>
      <c r="F43" s="210"/>
      <c r="G43" s="183">
        <f>'Field Info'!A11</f>
        <v>0</v>
      </c>
      <c r="H43" s="184">
        <f>'8'!$B$2</f>
        <v>0</v>
      </c>
      <c r="I43" s="184">
        <f>'8'!$I$5</f>
        <v>0</v>
      </c>
      <c r="J43" s="184">
        <f>'8'!$I$21</f>
        <v>0</v>
      </c>
      <c r="K43" s="185">
        <f>'8'!$I$36</f>
        <v>0</v>
      </c>
      <c r="L43" s="187"/>
    </row>
    <row r="44" spans="1:12" ht="22.9" customHeight="1">
      <c r="A44" s="188"/>
      <c r="B44" s="189" t="s">
        <v>11</v>
      </c>
      <c r="C44" s="186">
        <f>'7'!$B$5</f>
        <v>0</v>
      </c>
      <c r="D44" s="186">
        <f>'7'!$B$21</f>
        <v>0</v>
      </c>
      <c r="E44" s="190">
        <f>'7'!$B$36</f>
        <v>0</v>
      </c>
      <c r="F44" s="210"/>
      <c r="G44" s="188"/>
      <c r="H44" s="189" t="s">
        <v>11</v>
      </c>
      <c r="I44" s="186">
        <f>'8'!$B$5</f>
        <v>0</v>
      </c>
      <c r="J44" s="186">
        <f>'8'!$B$21</f>
        <v>0</v>
      </c>
      <c r="K44" s="190">
        <f>'8'!$B$36</f>
        <v>0</v>
      </c>
      <c r="L44" s="187"/>
    </row>
    <row r="45" spans="1:12" ht="22.9" customHeight="1">
      <c r="A45" s="191" t="s">
        <v>125</v>
      </c>
      <c r="B45" s="192" t="s">
        <v>124</v>
      </c>
      <c r="C45" s="727" t="s">
        <v>222</v>
      </c>
      <c r="D45" s="728"/>
      <c r="E45" s="729"/>
      <c r="F45" s="210"/>
      <c r="G45" s="191" t="s">
        <v>125</v>
      </c>
      <c r="H45" s="192" t="s">
        <v>124</v>
      </c>
      <c r="I45" s="727" t="s">
        <v>222</v>
      </c>
      <c r="J45" s="728"/>
      <c r="K45" s="729"/>
      <c r="L45" s="187"/>
    </row>
    <row r="46" spans="1:12" ht="22.9" customHeight="1">
      <c r="A46" s="194" t="s">
        <v>123</v>
      </c>
      <c r="B46" s="121"/>
      <c r="C46" s="105">
        <f>'7'!$H$8</f>
        <v>0</v>
      </c>
      <c r="D46" s="105">
        <f>'7'!$H$24</f>
        <v>0</v>
      </c>
      <c r="E46" s="195">
        <f>'7'!$H$39</f>
        <v>0</v>
      </c>
      <c r="F46" s="210"/>
      <c r="G46" s="194" t="s">
        <v>123</v>
      </c>
      <c r="H46" s="121"/>
      <c r="I46" s="105">
        <f>'8'!$H$8</f>
        <v>0</v>
      </c>
      <c r="J46" s="105">
        <f>'8'!$H$24</f>
        <v>0</v>
      </c>
      <c r="K46" s="195">
        <f>'8'!$H$39</f>
        <v>0</v>
      </c>
      <c r="L46" s="187"/>
    </row>
    <row r="47" spans="1:12" ht="22.9" customHeight="1">
      <c r="A47" s="194" t="s">
        <v>75</v>
      </c>
      <c r="B47" s="106" t="str">
        <f>'7'!$I$2</f>
        <v>low</v>
      </c>
      <c r="C47" s="106">
        <f>'7'!$I$8</f>
        <v>0</v>
      </c>
      <c r="D47" s="106">
        <f>'7'!$I$24</f>
        <v>0</v>
      </c>
      <c r="E47" s="197">
        <f>'7'!$I$39</f>
        <v>0</v>
      </c>
      <c r="F47" s="210"/>
      <c r="G47" s="194" t="s">
        <v>75</v>
      </c>
      <c r="H47" s="106" t="str">
        <f>'8'!$I$2</f>
        <v>low</v>
      </c>
      <c r="I47" s="106">
        <f>'8'!$I$8</f>
        <v>0</v>
      </c>
      <c r="J47" s="106">
        <f>'8'!$I$24</f>
        <v>0</v>
      </c>
      <c r="K47" s="197">
        <f>'8'!$I$39</f>
        <v>0</v>
      </c>
      <c r="L47" s="187"/>
    </row>
    <row r="48" spans="1:12" ht="22.9" customHeight="1">
      <c r="A48" s="194" t="s">
        <v>23</v>
      </c>
      <c r="B48" s="107">
        <f>'7'!$J$2</f>
        <v>0</v>
      </c>
      <c r="C48" s="107">
        <f>'7'!$J$8</f>
        <v>0</v>
      </c>
      <c r="D48" s="107">
        <f>'7'!$J$24</f>
        <v>0</v>
      </c>
      <c r="E48" s="198">
        <f>'7'!$J$39</f>
        <v>0</v>
      </c>
      <c r="F48" s="210"/>
      <c r="G48" s="194" t="s">
        <v>23</v>
      </c>
      <c r="H48" s="107">
        <f>'8'!$J$2</f>
        <v>0</v>
      </c>
      <c r="I48" s="107">
        <f>'8'!$J$8</f>
        <v>0</v>
      </c>
      <c r="J48" s="107">
        <f>'8'!$J$24</f>
        <v>0</v>
      </c>
      <c r="K48" s="198">
        <f>'8'!$J$39</f>
        <v>0</v>
      </c>
      <c r="L48" s="187"/>
    </row>
    <row r="49" spans="1:12" ht="22.9" customHeight="1">
      <c r="A49" s="194" t="s">
        <v>5</v>
      </c>
      <c r="B49" s="199">
        <f>'7'!$K$2</f>
        <v>0</v>
      </c>
      <c r="C49" s="108"/>
      <c r="D49" s="108"/>
      <c r="E49" s="109"/>
      <c r="F49" s="210"/>
      <c r="G49" s="194" t="s">
        <v>5</v>
      </c>
      <c r="H49" s="199">
        <f>'8'!$K$2</f>
        <v>0</v>
      </c>
      <c r="I49" s="108"/>
      <c r="J49" s="108"/>
      <c r="K49" s="109"/>
      <c r="L49" s="187"/>
    </row>
    <row r="50" spans="1:12" ht="22.9" customHeight="1">
      <c r="A50" s="194" t="s">
        <v>4</v>
      </c>
      <c r="B50" s="200">
        <f>'7'!$L$2</f>
        <v>0</v>
      </c>
      <c r="C50" s="110"/>
      <c r="D50" s="110"/>
      <c r="E50" s="111"/>
      <c r="F50" s="210"/>
      <c r="G50" s="194" t="s">
        <v>4</v>
      </c>
      <c r="H50" s="200">
        <f>'8'!$L$2</f>
        <v>0</v>
      </c>
      <c r="I50" s="110"/>
      <c r="J50" s="110"/>
      <c r="K50" s="111"/>
      <c r="L50" s="187"/>
    </row>
    <row r="51" spans="1:12" ht="22.9" customHeight="1" thickBot="1">
      <c r="A51" s="201" t="s">
        <v>8</v>
      </c>
      <c r="B51" s="202">
        <f>'7'!$G$2</f>
        <v>0</v>
      </c>
      <c r="C51" s="112"/>
      <c r="D51" s="112"/>
      <c r="E51" s="113"/>
      <c r="F51" s="206"/>
      <c r="G51" s="201" t="s">
        <v>8</v>
      </c>
      <c r="H51" s="202">
        <f>'8'!$G$2</f>
        <v>0</v>
      </c>
      <c r="I51" s="112"/>
      <c r="J51" s="112"/>
      <c r="K51" s="113"/>
      <c r="L51" s="187"/>
    </row>
    <row r="52" spans="1:12" ht="22.9" customHeight="1" thickBot="1">
      <c r="A52" s="115" t="s">
        <v>122</v>
      </c>
      <c r="B52" s="116"/>
      <c r="C52" s="204" t="str">
        <f>('7'!C16&amp;" "&amp;'7'!B16)</f>
        <v xml:space="preserve"> </v>
      </c>
      <c r="D52" s="204" t="str">
        <f>('7'!C31&amp;" "&amp;'7'!B31)</f>
        <v xml:space="preserve"> </v>
      </c>
      <c r="E52" s="204" t="str">
        <f>('7'!C46&amp;" "&amp;'7'!B46)</f>
        <v xml:space="preserve"> </v>
      </c>
      <c r="F52" s="206"/>
      <c r="G52" s="115" t="s">
        <v>122</v>
      </c>
      <c r="H52" s="116"/>
      <c r="I52" s="204" t="str">
        <f>('8'!C16&amp;" "&amp;'8'!B16)</f>
        <v xml:space="preserve"> </v>
      </c>
      <c r="J52" s="204" t="str">
        <f>('8'!C31&amp;" "&amp;'8'!B31)</f>
        <v xml:space="preserve"> </v>
      </c>
      <c r="K52" s="204" t="str">
        <f>('8'!C46&amp;" "&amp;'8'!B46)</f>
        <v xml:space="preserve"> </v>
      </c>
      <c r="L52" s="187"/>
    </row>
    <row r="53" spans="1:12" ht="22.9" customHeight="1" thickBot="1">
      <c r="A53" s="117" t="s">
        <v>81</v>
      </c>
      <c r="B53" s="118"/>
      <c r="C53" s="204" t="str">
        <f>('7'!C17&amp;" "&amp;'7'!B17)</f>
        <v xml:space="preserve"> </v>
      </c>
      <c r="D53" s="204" t="str">
        <f>('7'!C32&amp;" "&amp;'7'!B32)</f>
        <v xml:space="preserve"> </v>
      </c>
      <c r="E53" s="204" t="str">
        <f>('7'!C47&amp;" "&amp;'7'!B47)</f>
        <v xml:space="preserve"> </v>
      </c>
      <c r="F53" s="206"/>
      <c r="G53" s="117" t="s">
        <v>81</v>
      </c>
      <c r="H53" s="118"/>
      <c r="I53" s="204" t="str">
        <f>('8'!C17&amp;" "&amp;'8'!B17)</f>
        <v xml:space="preserve"> </v>
      </c>
      <c r="J53" s="204" t="str">
        <f>('8'!C32&amp;" "&amp;'8'!B32)</f>
        <v xml:space="preserve"> </v>
      </c>
      <c r="K53" s="204" t="str">
        <f>('8'!C47&amp;" "&amp;'8'!B47)</f>
        <v xml:space="preserve"> </v>
      </c>
      <c r="L53" s="187"/>
    </row>
    <row r="54" spans="1:12" ht="22.9" customHeight="1" thickBot="1">
      <c r="A54" s="117" t="s">
        <v>83</v>
      </c>
      <c r="B54" s="118"/>
      <c r="C54" s="204" t="str">
        <f>('7'!C18&amp;" "&amp;'7'!B18)</f>
        <v xml:space="preserve"> </v>
      </c>
      <c r="D54" s="204" t="str">
        <f>('7'!C33&amp;" "&amp;'7'!B33)</f>
        <v xml:space="preserve"> </v>
      </c>
      <c r="E54" s="204" t="str">
        <f>('7'!C48&amp;" "&amp;'7'!B48)</f>
        <v xml:space="preserve"> </v>
      </c>
      <c r="F54" s="206"/>
      <c r="G54" s="117" t="s">
        <v>83</v>
      </c>
      <c r="H54" s="118"/>
      <c r="I54" s="204" t="str">
        <f>('8'!C18&amp;" "&amp;'8'!B18)</f>
        <v xml:space="preserve"> </v>
      </c>
      <c r="J54" s="204" t="str">
        <f>('8'!C33&amp;" "&amp;'8'!B33)</f>
        <v xml:space="preserve"> </v>
      </c>
      <c r="K54" s="204" t="str">
        <f>('8'!C48&amp;" "&amp;'8'!B48)</f>
        <v xml:space="preserve"> </v>
      </c>
      <c r="L54" s="187"/>
    </row>
    <row r="55" spans="1:12" ht="22.9" customHeight="1" thickBot="1">
      <c r="A55" s="119" t="s">
        <v>82</v>
      </c>
      <c r="B55" s="120"/>
      <c r="C55" s="204" t="str">
        <f>('7'!C19&amp;" "&amp;'7'!B19)</f>
        <v xml:space="preserve"> </v>
      </c>
      <c r="D55" s="204" t="str">
        <f>('7'!C34&amp;" "&amp;'7'!B34)</f>
        <v xml:space="preserve"> </v>
      </c>
      <c r="E55" s="204" t="str">
        <f>('7'!C49&amp;" "&amp;'7'!B49)</f>
        <v xml:space="preserve"> </v>
      </c>
      <c r="F55" s="206"/>
      <c r="G55" s="119" t="s">
        <v>82</v>
      </c>
      <c r="H55" s="120"/>
      <c r="I55" s="204" t="str">
        <f>('8'!C19&amp;" "&amp;'8'!B19)</f>
        <v xml:space="preserve"> </v>
      </c>
      <c r="J55" s="204" t="str">
        <f>('8'!C34&amp;" "&amp;'8'!B34)</f>
        <v xml:space="preserve"> </v>
      </c>
      <c r="K55" s="204" t="str">
        <f>('8'!C49&amp;" "&amp;'8'!B49)</f>
        <v xml:space="preserve"> </v>
      </c>
      <c r="L55" s="187"/>
    </row>
    <row r="56" spans="1:12" ht="22.9" customHeight="1" thickBot="1">
      <c r="A56" s="187"/>
      <c r="B56" s="187"/>
      <c r="C56" s="187"/>
      <c r="D56" s="187"/>
      <c r="E56" s="187"/>
      <c r="F56" s="206"/>
      <c r="G56" s="187"/>
      <c r="H56" s="187"/>
      <c r="I56" s="187"/>
      <c r="J56" s="187"/>
      <c r="K56" s="187"/>
      <c r="L56" s="187"/>
    </row>
    <row r="57" spans="1:12" ht="22.9" customHeight="1">
      <c r="A57" s="183">
        <f>'Field Info'!A12</f>
        <v>0</v>
      </c>
      <c r="B57" s="184">
        <f>'9'!$B$2</f>
        <v>0</v>
      </c>
      <c r="C57" s="184">
        <f>'9'!$I$5</f>
        <v>0</v>
      </c>
      <c r="D57" s="184">
        <f>'9'!$I$21</f>
        <v>0</v>
      </c>
      <c r="E57" s="185">
        <f>'9'!$I$36</f>
        <v>0</v>
      </c>
      <c r="F57" s="210"/>
      <c r="G57" s="183">
        <f>'Field Info'!A13</f>
        <v>0</v>
      </c>
      <c r="H57" s="184">
        <f>'10'!$B$2</f>
        <v>0</v>
      </c>
      <c r="I57" s="184">
        <f>'10'!$I$5</f>
        <v>0</v>
      </c>
      <c r="J57" s="184">
        <f>'10'!$I$21</f>
        <v>0</v>
      </c>
      <c r="K57" s="185">
        <f>'10'!$I$36</f>
        <v>0</v>
      </c>
      <c r="L57" s="187"/>
    </row>
    <row r="58" spans="1:12" ht="22.9" customHeight="1">
      <c r="A58" s="188"/>
      <c r="B58" s="189" t="s">
        <v>11</v>
      </c>
      <c r="C58" s="186">
        <f>'9'!$B$5</f>
        <v>0</v>
      </c>
      <c r="D58" s="186">
        <f>'9'!$B$21</f>
        <v>0</v>
      </c>
      <c r="E58" s="190">
        <f>'9'!$B$36</f>
        <v>0</v>
      </c>
      <c r="F58" s="210"/>
      <c r="G58" s="188"/>
      <c r="H58" s="189" t="s">
        <v>11</v>
      </c>
      <c r="I58" s="186">
        <f>'10'!$B$5</f>
        <v>0</v>
      </c>
      <c r="J58" s="186">
        <f>'10'!$B$21</f>
        <v>0</v>
      </c>
      <c r="K58" s="190">
        <f>'10'!$B$36</f>
        <v>0</v>
      </c>
      <c r="L58" s="187"/>
    </row>
    <row r="59" spans="1:12" ht="22.9" customHeight="1">
      <c r="A59" s="191" t="s">
        <v>125</v>
      </c>
      <c r="B59" s="192" t="s">
        <v>124</v>
      </c>
      <c r="C59" s="727" t="s">
        <v>222</v>
      </c>
      <c r="D59" s="728"/>
      <c r="E59" s="729"/>
      <c r="F59" s="210"/>
      <c r="G59" s="191" t="s">
        <v>125</v>
      </c>
      <c r="H59" s="192" t="s">
        <v>124</v>
      </c>
      <c r="I59" s="727" t="s">
        <v>222</v>
      </c>
      <c r="J59" s="728"/>
      <c r="K59" s="729"/>
      <c r="L59" s="187"/>
    </row>
    <row r="60" spans="1:12" ht="22.9" customHeight="1">
      <c r="A60" s="194" t="s">
        <v>123</v>
      </c>
      <c r="B60" s="121"/>
      <c r="C60" s="105">
        <f>'9'!$H$8</f>
        <v>0</v>
      </c>
      <c r="D60" s="105">
        <f>'9'!$H$24</f>
        <v>0</v>
      </c>
      <c r="E60" s="195">
        <f>'9'!$H$39</f>
        <v>0</v>
      </c>
      <c r="F60" s="210"/>
      <c r="G60" s="194" t="s">
        <v>123</v>
      </c>
      <c r="H60" s="121"/>
      <c r="I60" s="105">
        <f>'10'!$H$8</f>
        <v>0</v>
      </c>
      <c r="J60" s="105">
        <f>'10'!$H$24</f>
        <v>0</v>
      </c>
      <c r="K60" s="195">
        <f>'10'!$H$39</f>
        <v>0</v>
      </c>
      <c r="L60" s="187"/>
    </row>
    <row r="61" spans="1:12" ht="22.9" customHeight="1">
      <c r="A61" s="194" t="s">
        <v>75</v>
      </c>
      <c r="B61" s="106" t="str">
        <f>'9'!$I$2</f>
        <v>low</v>
      </c>
      <c r="C61" s="106">
        <f>'9'!$I$8</f>
        <v>0</v>
      </c>
      <c r="D61" s="106">
        <f>'9'!$I$24</f>
        <v>0</v>
      </c>
      <c r="E61" s="197">
        <f>'9'!$I$39</f>
        <v>0</v>
      </c>
      <c r="F61" s="210"/>
      <c r="G61" s="194" t="s">
        <v>75</v>
      </c>
      <c r="H61" s="106" t="str">
        <f>'10'!$I$2</f>
        <v>low</v>
      </c>
      <c r="I61" s="106">
        <f>'10'!$I$8</f>
        <v>0</v>
      </c>
      <c r="J61" s="106">
        <f>'10'!$I$24</f>
        <v>0</v>
      </c>
      <c r="K61" s="197">
        <f>'10'!$I$39</f>
        <v>0</v>
      </c>
      <c r="L61" s="187"/>
    </row>
    <row r="62" spans="1:12" ht="22.9" customHeight="1">
      <c r="A62" s="194" t="s">
        <v>23</v>
      </c>
      <c r="B62" s="107">
        <f>'9'!$J$2</f>
        <v>0</v>
      </c>
      <c r="C62" s="107">
        <f>'9'!$J$8</f>
        <v>0</v>
      </c>
      <c r="D62" s="107">
        <f>'9'!$J$24</f>
        <v>0</v>
      </c>
      <c r="E62" s="198">
        <f>'9'!$J$39</f>
        <v>0</v>
      </c>
      <c r="F62" s="210"/>
      <c r="G62" s="194" t="s">
        <v>23</v>
      </c>
      <c r="H62" s="107">
        <f>'10'!$J$2</f>
        <v>0</v>
      </c>
      <c r="I62" s="107">
        <f>'10'!$J$8</f>
        <v>0</v>
      </c>
      <c r="J62" s="107">
        <f>'10'!$J$24</f>
        <v>0</v>
      </c>
      <c r="K62" s="198">
        <f>'10'!$J$39</f>
        <v>0</v>
      </c>
      <c r="L62" s="187"/>
    </row>
    <row r="63" spans="1:12" ht="22.9" customHeight="1">
      <c r="A63" s="194" t="s">
        <v>5</v>
      </c>
      <c r="B63" s="199">
        <f>'9'!$K$2</f>
        <v>0</v>
      </c>
      <c r="C63" s="108"/>
      <c r="D63" s="108"/>
      <c r="E63" s="109"/>
      <c r="F63" s="210"/>
      <c r="G63" s="194" t="s">
        <v>5</v>
      </c>
      <c r="H63" s="199">
        <f>'10'!$K$2</f>
        <v>0</v>
      </c>
      <c r="I63" s="108"/>
      <c r="J63" s="108"/>
      <c r="K63" s="109"/>
      <c r="L63" s="187"/>
    </row>
    <row r="64" spans="1:12" ht="22.9" customHeight="1">
      <c r="A64" s="194" t="s">
        <v>4</v>
      </c>
      <c r="B64" s="200">
        <f>'9'!$L$2</f>
        <v>0</v>
      </c>
      <c r="C64" s="110"/>
      <c r="D64" s="110"/>
      <c r="E64" s="111"/>
      <c r="F64" s="210"/>
      <c r="G64" s="194" t="s">
        <v>4</v>
      </c>
      <c r="H64" s="200">
        <f>'10'!$L$2</f>
        <v>0</v>
      </c>
      <c r="I64" s="110"/>
      <c r="J64" s="110"/>
      <c r="K64" s="111"/>
      <c r="L64" s="187"/>
    </row>
    <row r="65" spans="1:12" ht="22.9" customHeight="1" thickBot="1">
      <c r="A65" s="201" t="s">
        <v>8</v>
      </c>
      <c r="B65" s="202">
        <f>'9'!$G$2</f>
        <v>0</v>
      </c>
      <c r="C65" s="112"/>
      <c r="D65" s="112"/>
      <c r="E65" s="113"/>
      <c r="F65" s="206"/>
      <c r="G65" s="201" t="s">
        <v>8</v>
      </c>
      <c r="H65" s="202">
        <f>'10'!$G$2</f>
        <v>0</v>
      </c>
      <c r="I65" s="112"/>
      <c r="J65" s="112"/>
      <c r="K65" s="113"/>
      <c r="L65" s="187"/>
    </row>
    <row r="66" spans="1:12" ht="22.9" customHeight="1" thickBot="1">
      <c r="A66" s="115" t="s">
        <v>122</v>
      </c>
      <c r="B66" s="116"/>
      <c r="C66" s="204" t="str">
        <f>('9'!C16&amp;" "&amp;'9'!B16)</f>
        <v xml:space="preserve"> </v>
      </c>
      <c r="D66" s="204" t="str">
        <f>('9'!C31&amp;" "&amp;'9'!B31)</f>
        <v xml:space="preserve"> </v>
      </c>
      <c r="E66" s="204" t="str">
        <f>('9'!C46&amp;" "&amp;'9'!B46)</f>
        <v xml:space="preserve"> </v>
      </c>
      <c r="F66" s="206"/>
      <c r="G66" s="115" t="s">
        <v>122</v>
      </c>
      <c r="H66" s="116"/>
      <c r="I66" s="204" t="str">
        <f>('10'!C16&amp;" "&amp;'10'!B16)</f>
        <v xml:space="preserve"> </v>
      </c>
      <c r="J66" s="204" t="str">
        <f>('10'!C31&amp;" "&amp;'10'!B31)</f>
        <v xml:space="preserve"> </v>
      </c>
      <c r="K66" s="204" t="str">
        <f>('10'!C46&amp;" "&amp;'10'!B46)</f>
        <v xml:space="preserve"> </v>
      </c>
      <c r="L66" s="187"/>
    </row>
    <row r="67" spans="1:12" ht="22.9" customHeight="1" thickBot="1">
      <c r="A67" s="117" t="s">
        <v>81</v>
      </c>
      <c r="B67" s="118"/>
      <c r="C67" s="204" t="str">
        <f>('9'!C17&amp;" "&amp;'9'!B17)</f>
        <v xml:space="preserve"> </v>
      </c>
      <c r="D67" s="204" t="str">
        <f>('9'!C32&amp;" "&amp;'9'!B32)</f>
        <v xml:space="preserve"> </v>
      </c>
      <c r="E67" s="204" t="str">
        <f>('9'!C47&amp;" "&amp;'9'!B47)</f>
        <v xml:space="preserve"> </v>
      </c>
      <c r="F67" s="206"/>
      <c r="G67" s="117" t="s">
        <v>81</v>
      </c>
      <c r="H67" s="118"/>
      <c r="I67" s="204" t="str">
        <f>('10'!C17&amp;" "&amp;'10'!B17)</f>
        <v xml:space="preserve"> </v>
      </c>
      <c r="J67" s="204" t="str">
        <f>('10'!C32&amp;" "&amp;'10'!B32)</f>
        <v xml:space="preserve"> </v>
      </c>
      <c r="K67" s="204" t="str">
        <f>('10'!C47&amp;" "&amp;'10'!B47)</f>
        <v xml:space="preserve"> </v>
      </c>
      <c r="L67" s="187"/>
    </row>
    <row r="68" spans="1:12" ht="22.9" customHeight="1" thickBot="1">
      <c r="A68" s="117" t="s">
        <v>83</v>
      </c>
      <c r="B68" s="118"/>
      <c r="C68" s="204" t="str">
        <f>('9'!C18&amp;" "&amp;'9'!B18)</f>
        <v xml:space="preserve"> </v>
      </c>
      <c r="D68" s="204" t="str">
        <f>('9'!C33&amp;" "&amp;'9'!B33)</f>
        <v xml:space="preserve"> </v>
      </c>
      <c r="E68" s="204" t="str">
        <f>('9'!C48&amp;" "&amp;'9'!B48)</f>
        <v xml:space="preserve"> </v>
      </c>
      <c r="F68" s="206"/>
      <c r="G68" s="117" t="s">
        <v>83</v>
      </c>
      <c r="H68" s="118"/>
      <c r="I68" s="204" t="str">
        <f>('10'!C18&amp;" "&amp;'10'!B18)</f>
        <v xml:space="preserve"> </v>
      </c>
      <c r="J68" s="204" t="str">
        <f>('10'!C33&amp;" "&amp;'10'!B33)</f>
        <v xml:space="preserve"> </v>
      </c>
      <c r="K68" s="204" t="str">
        <f>('10'!C48&amp;" "&amp;'10'!B48)</f>
        <v xml:space="preserve"> </v>
      </c>
      <c r="L68" s="187"/>
    </row>
    <row r="69" spans="1:12" ht="22.9" customHeight="1" thickBot="1">
      <c r="A69" s="119" t="s">
        <v>82</v>
      </c>
      <c r="B69" s="120"/>
      <c r="C69" s="204" t="str">
        <f>('9'!C19&amp;" "&amp;'9'!B19)</f>
        <v xml:space="preserve"> </v>
      </c>
      <c r="D69" s="204" t="str">
        <f>('9'!C34&amp;" "&amp;'9'!B34)</f>
        <v xml:space="preserve"> </v>
      </c>
      <c r="E69" s="204" t="str">
        <f>('9'!C49&amp;" "&amp;'9'!B49)</f>
        <v xml:space="preserve"> </v>
      </c>
      <c r="F69" s="206"/>
      <c r="G69" s="119" t="s">
        <v>82</v>
      </c>
      <c r="H69" s="120"/>
      <c r="I69" s="204" t="str">
        <f>('10'!C19&amp;" "&amp;'10'!B19)</f>
        <v xml:space="preserve"> </v>
      </c>
      <c r="J69" s="204" t="str">
        <f>('10'!C34&amp;" "&amp;'10'!B34)</f>
        <v xml:space="preserve"> </v>
      </c>
      <c r="K69" s="204" t="str">
        <f>('10'!C49&amp;" "&amp;'10'!B49)</f>
        <v xml:space="preserve"> </v>
      </c>
      <c r="L69" s="187"/>
    </row>
    <row r="70" spans="1:12" ht="22.9" customHeight="1" thickBot="1">
      <c r="A70" s="187"/>
      <c r="B70" s="187"/>
      <c r="C70" s="187"/>
      <c r="D70" s="187"/>
      <c r="E70" s="187"/>
      <c r="F70" s="206"/>
      <c r="G70" s="187"/>
      <c r="H70" s="187"/>
      <c r="I70" s="187"/>
      <c r="J70" s="187"/>
      <c r="K70" s="187"/>
      <c r="L70" s="187"/>
    </row>
    <row r="71" spans="1:12" ht="22.9" customHeight="1">
      <c r="A71" s="183">
        <f>'Field Info'!A14</f>
        <v>0</v>
      </c>
      <c r="B71" s="184">
        <f>'11'!$B$2</f>
        <v>0</v>
      </c>
      <c r="C71" s="184">
        <f>'11'!$I$5</f>
        <v>0</v>
      </c>
      <c r="D71" s="184">
        <f>'11'!$I$21</f>
        <v>0</v>
      </c>
      <c r="E71" s="185">
        <f>'11'!$I$36</f>
        <v>0</v>
      </c>
      <c r="F71" s="210"/>
      <c r="G71" s="183">
        <f>'Field Info'!A15</f>
        <v>0</v>
      </c>
      <c r="H71" s="184">
        <f>'12'!$B$2</f>
        <v>0</v>
      </c>
      <c r="I71" s="184">
        <f>'12'!$I$5</f>
        <v>0</v>
      </c>
      <c r="J71" s="184">
        <f>'12'!$I$21</f>
        <v>0</v>
      </c>
      <c r="K71" s="185">
        <f>'12'!$I$36</f>
        <v>0</v>
      </c>
      <c r="L71" s="187"/>
    </row>
    <row r="72" spans="1:12" ht="22.9" customHeight="1">
      <c r="A72" s="188"/>
      <c r="B72" s="189" t="s">
        <v>11</v>
      </c>
      <c r="C72" s="186">
        <f>'11'!$B$5</f>
        <v>0</v>
      </c>
      <c r="D72" s="186">
        <f>'11'!$B$21</f>
        <v>0</v>
      </c>
      <c r="E72" s="190">
        <f>'11'!$B$36</f>
        <v>0</v>
      </c>
      <c r="F72" s="210"/>
      <c r="G72" s="188"/>
      <c r="H72" s="189" t="s">
        <v>11</v>
      </c>
      <c r="I72" s="186">
        <f>'12'!$B$5</f>
        <v>0</v>
      </c>
      <c r="J72" s="186">
        <f>'12'!$B$21</f>
        <v>0</v>
      </c>
      <c r="K72" s="190">
        <f>'12'!$B$36</f>
        <v>0</v>
      </c>
      <c r="L72" s="187"/>
    </row>
    <row r="73" spans="1:12" ht="22.9" customHeight="1">
      <c r="A73" s="191" t="s">
        <v>125</v>
      </c>
      <c r="B73" s="192" t="s">
        <v>124</v>
      </c>
      <c r="C73" s="727" t="s">
        <v>222</v>
      </c>
      <c r="D73" s="728"/>
      <c r="E73" s="729"/>
      <c r="F73" s="210"/>
      <c r="G73" s="191" t="s">
        <v>125</v>
      </c>
      <c r="H73" s="192" t="s">
        <v>124</v>
      </c>
      <c r="I73" s="727" t="s">
        <v>222</v>
      </c>
      <c r="J73" s="728"/>
      <c r="K73" s="729"/>
      <c r="L73" s="187"/>
    </row>
    <row r="74" spans="1:12" ht="22.9" customHeight="1">
      <c r="A74" s="194" t="s">
        <v>123</v>
      </c>
      <c r="B74" s="121"/>
      <c r="C74" s="105">
        <f>'11'!$H$8</f>
        <v>0</v>
      </c>
      <c r="D74" s="105">
        <f>'11'!$H$24</f>
        <v>0</v>
      </c>
      <c r="E74" s="195">
        <f>'11'!$H$39</f>
        <v>0</v>
      </c>
      <c r="F74" s="210"/>
      <c r="G74" s="194" t="s">
        <v>123</v>
      </c>
      <c r="H74" s="121"/>
      <c r="I74" s="105">
        <f>'12'!$H$8</f>
        <v>0</v>
      </c>
      <c r="J74" s="105">
        <f>'12'!$H$24</f>
        <v>0</v>
      </c>
      <c r="K74" s="195">
        <f>'12'!$H$39</f>
        <v>0</v>
      </c>
      <c r="L74" s="187"/>
    </row>
    <row r="75" spans="1:12" ht="22.9" customHeight="1">
      <c r="A75" s="194" t="s">
        <v>75</v>
      </c>
      <c r="B75" s="106" t="str">
        <f>'11'!$I$2</f>
        <v>low</v>
      </c>
      <c r="C75" s="106">
        <f>'11'!$I$8</f>
        <v>0</v>
      </c>
      <c r="D75" s="106">
        <f>'11'!$I$24</f>
        <v>0</v>
      </c>
      <c r="E75" s="197">
        <f>'11'!$I$39</f>
        <v>0</v>
      </c>
      <c r="F75" s="210"/>
      <c r="G75" s="194" t="s">
        <v>75</v>
      </c>
      <c r="H75" s="106" t="str">
        <f>'12'!$I$2</f>
        <v>low</v>
      </c>
      <c r="I75" s="106">
        <f>'12'!$I$8</f>
        <v>0</v>
      </c>
      <c r="J75" s="106">
        <f>'12'!$I$24</f>
        <v>0</v>
      </c>
      <c r="K75" s="197">
        <f>'12'!$I$39</f>
        <v>0</v>
      </c>
      <c r="L75" s="187"/>
    </row>
    <row r="76" spans="1:12" ht="22.9" customHeight="1">
      <c r="A76" s="194" t="s">
        <v>23</v>
      </c>
      <c r="B76" s="107">
        <f>'11'!$J$2</f>
        <v>0</v>
      </c>
      <c r="C76" s="107">
        <f>'11'!$J$8</f>
        <v>0</v>
      </c>
      <c r="D76" s="107">
        <f>'11'!$J$24</f>
        <v>0</v>
      </c>
      <c r="E76" s="198">
        <f>'11'!$J$39</f>
        <v>0</v>
      </c>
      <c r="F76" s="210"/>
      <c r="G76" s="194" t="s">
        <v>23</v>
      </c>
      <c r="H76" s="107">
        <f>'12'!$J$2</f>
        <v>0</v>
      </c>
      <c r="I76" s="107">
        <f>'12'!$J$8</f>
        <v>0</v>
      </c>
      <c r="J76" s="107">
        <f>'12'!$J$24</f>
        <v>0</v>
      </c>
      <c r="K76" s="198">
        <f>'12'!$J$39</f>
        <v>0</v>
      </c>
      <c r="L76" s="187"/>
    </row>
    <row r="77" spans="1:12" ht="22.9" customHeight="1">
      <c r="A77" s="194" t="s">
        <v>5</v>
      </c>
      <c r="B77" s="199">
        <f>'11'!$K$2</f>
        <v>0</v>
      </c>
      <c r="C77" s="108"/>
      <c r="D77" s="108"/>
      <c r="E77" s="109"/>
      <c r="F77" s="210"/>
      <c r="G77" s="194" t="s">
        <v>5</v>
      </c>
      <c r="H77" s="199">
        <f>'12'!$K$2</f>
        <v>0</v>
      </c>
      <c r="I77" s="108"/>
      <c r="J77" s="108"/>
      <c r="K77" s="109"/>
      <c r="L77" s="187"/>
    </row>
    <row r="78" spans="1:12" ht="22.9" customHeight="1">
      <c r="A78" s="194" t="s">
        <v>4</v>
      </c>
      <c r="B78" s="200">
        <f>'11'!$L$2</f>
        <v>0</v>
      </c>
      <c r="C78" s="110"/>
      <c r="D78" s="110"/>
      <c r="E78" s="111"/>
      <c r="F78" s="210"/>
      <c r="G78" s="194" t="s">
        <v>4</v>
      </c>
      <c r="H78" s="200">
        <f>'12'!$L$2</f>
        <v>0</v>
      </c>
      <c r="I78" s="110"/>
      <c r="J78" s="110"/>
      <c r="K78" s="111"/>
      <c r="L78" s="187"/>
    </row>
    <row r="79" spans="1:12" ht="22.9" customHeight="1" thickBot="1">
      <c r="A79" s="201" t="s">
        <v>8</v>
      </c>
      <c r="B79" s="202">
        <f>'11'!$G$2</f>
        <v>0</v>
      </c>
      <c r="C79" s="112"/>
      <c r="D79" s="112"/>
      <c r="E79" s="113"/>
      <c r="F79" s="206"/>
      <c r="G79" s="201" t="s">
        <v>8</v>
      </c>
      <c r="H79" s="202">
        <f>'12'!$G$2</f>
        <v>0</v>
      </c>
      <c r="I79" s="112"/>
      <c r="J79" s="112"/>
      <c r="K79" s="113"/>
      <c r="L79" s="187"/>
    </row>
    <row r="80" spans="1:12" ht="22.9" customHeight="1" thickBot="1">
      <c r="A80" s="115" t="s">
        <v>122</v>
      </c>
      <c r="B80" s="116"/>
      <c r="C80" s="204" t="str">
        <f>('11'!C16&amp;" "&amp;'11'!B16)</f>
        <v xml:space="preserve"> </v>
      </c>
      <c r="D80" s="204" t="str">
        <f>('11'!C31&amp;" "&amp;'11'!B31)</f>
        <v xml:space="preserve"> </v>
      </c>
      <c r="E80" s="204" t="str">
        <f>('11'!C46&amp;" "&amp;'11'!B46)</f>
        <v xml:space="preserve"> </v>
      </c>
      <c r="F80" s="206"/>
      <c r="G80" s="115" t="s">
        <v>122</v>
      </c>
      <c r="H80" s="116"/>
      <c r="I80" s="204" t="str">
        <f>('12'!C16&amp;" "&amp;'12'!B16)</f>
        <v xml:space="preserve"> </v>
      </c>
      <c r="J80" s="204" t="str">
        <f>('12'!C31&amp;" "&amp;'12'!B16)</f>
        <v xml:space="preserve"> </v>
      </c>
      <c r="K80" s="204" t="str">
        <f>('12'!C46&amp;" "&amp;'12'!B46)</f>
        <v xml:space="preserve"> </v>
      </c>
      <c r="L80" s="187"/>
    </row>
    <row r="81" spans="1:12" ht="22.9" customHeight="1" thickBot="1">
      <c r="A81" s="117" t="s">
        <v>81</v>
      </c>
      <c r="B81" s="118"/>
      <c r="C81" s="204" t="str">
        <f>('11'!C17&amp;" "&amp;'11'!B17)</f>
        <v xml:space="preserve"> </v>
      </c>
      <c r="D81" s="204" t="str">
        <f>('11'!C32&amp;" "&amp;'11'!B32)</f>
        <v xml:space="preserve"> </v>
      </c>
      <c r="E81" s="204" t="str">
        <f>('11'!C47&amp;" "&amp;'11'!B47)</f>
        <v xml:space="preserve"> </v>
      </c>
      <c r="F81" s="206"/>
      <c r="G81" s="117" t="s">
        <v>81</v>
      </c>
      <c r="H81" s="118"/>
      <c r="I81" s="204" t="str">
        <f>('12'!C17&amp;" "&amp;'12'!B17)</f>
        <v xml:space="preserve"> </v>
      </c>
      <c r="J81" s="204" t="str">
        <f>('12'!C32&amp;" "&amp;'12'!B17)</f>
        <v xml:space="preserve"> </v>
      </c>
      <c r="K81" s="204" t="str">
        <f>('12'!C47&amp;" "&amp;'12'!B47)</f>
        <v xml:space="preserve"> </v>
      </c>
      <c r="L81" s="187"/>
    </row>
    <row r="82" spans="1:12" ht="22.9" customHeight="1" thickBot="1">
      <c r="A82" s="117" t="s">
        <v>83</v>
      </c>
      <c r="B82" s="118"/>
      <c r="C82" s="204" t="str">
        <f>('11'!C18&amp;" "&amp;'11'!B18)</f>
        <v xml:space="preserve"> </v>
      </c>
      <c r="D82" s="204" t="str">
        <f>('11'!C33&amp;" "&amp;'11'!B33)</f>
        <v xml:space="preserve"> </v>
      </c>
      <c r="E82" s="204" t="str">
        <f>('11'!C48&amp;" "&amp;'11'!B48)</f>
        <v xml:space="preserve"> </v>
      </c>
      <c r="F82" s="206"/>
      <c r="G82" s="117" t="s">
        <v>83</v>
      </c>
      <c r="H82" s="118"/>
      <c r="I82" s="204" t="str">
        <f>('12'!C18&amp;" "&amp;'12'!B18)</f>
        <v xml:space="preserve"> </v>
      </c>
      <c r="J82" s="204" t="str">
        <f>('12'!C33&amp;" "&amp;'12'!B18)</f>
        <v xml:space="preserve"> </v>
      </c>
      <c r="K82" s="204" t="str">
        <f>('12'!C48&amp;" "&amp;'12'!B48)</f>
        <v xml:space="preserve"> </v>
      </c>
      <c r="L82" s="187"/>
    </row>
    <row r="83" spans="1:12" ht="22.9" customHeight="1" thickBot="1">
      <c r="A83" s="119" t="s">
        <v>82</v>
      </c>
      <c r="B83" s="120"/>
      <c r="C83" s="204" t="str">
        <f>('11'!C19&amp;" "&amp;'11'!B19)</f>
        <v xml:space="preserve"> </v>
      </c>
      <c r="D83" s="204" t="str">
        <f>('11'!C34&amp;" "&amp;'11'!B34)</f>
        <v xml:space="preserve"> </v>
      </c>
      <c r="E83" s="204" t="str">
        <f>('11'!C49&amp;" "&amp;'11'!B49)</f>
        <v xml:space="preserve"> </v>
      </c>
      <c r="F83" s="206"/>
      <c r="G83" s="119" t="s">
        <v>82</v>
      </c>
      <c r="H83" s="120"/>
      <c r="I83" s="204" t="str">
        <f>('12'!C19&amp;" "&amp;'12'!B19)</f>
        <v xml:space="preserve"> </v>
      </c>
      <c r="J83" s="204" t="str">
        <f>('12'!C34&amp;" "&amp;'12'!B19)</f>
        <v xml:space="preserve"> </v>
      </c>
      <c r="K83" s="204" t="str">
        <f>('12'!C49&amp;" "&amp;'12'!B49)</f>
        <v xml:space="preserve"> </v>
      </c>
      <c r="L83" s="187"/>
    </row>
    <row r="84" spans="1:12" ht="22.9" customHeight="1" thickBot="1">
      <c r="A84" s="187"/>
      <c r="B84" s="187"/>
      <c r="C84" s="187"/>
      <c r="D84" s="187"/>
      <c r="E84" s="187"/>
      <c r="F84" s="206"/>
      <c r="G84" s="187"/>
      <c r="H84" s="187"/>
      <c r="I84" s="187"/>
      <c r="J84" s="187"/>
      <c r="K84" s="187"/>
      <c r="L84" s="187"/>
    </row>
    <row r="85" spans="1:12" ht="22.9" customHeight="1">
      <c r="A85" s="183">
        <f>'Field Info'!A16</f>
        <v>0</v>
      </c>
      <c r="B85" s="184">
        <f>'13'!$B$2</f>
        <v>0</v>
      </c>
      <c r="C85" s="184">
        <f>'13'!$I$5</f>
        <v>0</v>
      </c>
      <c r="D85" s="184">
        <f>'13'!$I$21</f>
        <v>0</v>
      </c>
      <c r="E85" s="185">
        <f>'13'!$I$36</f>
        <v>0</v>
      </c>
      <c r="F85" s="210"/>
      <c r="G85" s="183">
        <f>'Field Info'!A17</f>
        <v>0</v>
      </c>
      <c r="H85" s="184">
        <f>'14'!$B$2</f>
        <v>0</v>
      </c>
      <c r="I85" s="184">
        <f>'14'!$I$5</f>
        <v>0</v>
      </c>
      <c r="J85" s="184">
        <f>'14'!$I$21</f>
        <v>0</v>
      </c>
      <c r="K85" s="185">
        <f>'14'!$I$36</f>
        <v>0</v>
      </c>
      <c r="L85" s="187"/>
    </row>
    <row r="86" spans="1:12" ht="22.9" customHeight="1">
      <c r="A86" s="188"/>
      <c r="B86" s="189" t="s">
        <v>11</v>
      </c>
      <c r="C86" s="186">
        <f>'13'!$B$5</f>
        <v>0</v>
      </c>
      <c r="D86" s="186">
        <f>'13'!$B$21</f>
        <v>0</v>
      </c>
      <c r="E86" s="190">
        <f>'13'!$B$36</f>
        <v>0</v>
      </c>
      <c r="F86" s="210"/>
      <c r="G86" s="188"/>
      <c r="H86" s="189" t="s">
        <v>11</v>
      </c>
      <c r="I86" s="186">
        <f>'14'!$B$5</f>
        <v>0</v>
      </c>
      <c r="J86" s="186">
        <f>'14'!$B$21</f>
        <v>0</v>
      </c>
      <c r="K86" s="190">
        <f>'14'!$B$36</f>
        <v>0</v>
      </c>
      <c r="L86" s="187"/>
    </row>
    <row r="87" spans="1:12" ht="22.9" customHeight="1">
      <c r="A87" s="191" t="s">
        <v>125</v>
      </c>
      <c r="B87" s="192" t="s">
        <v>124</v>
      </c>
      <c r="C87" s="727" t="s">
        <v>222</v>
      </c>
      <c r="D87" s="728"/>
      <c r="E87" s="729"/>
      <c r="F87" s="210"/>
      <c r="G87" s="191" t="s">
        <v>125</v>
      </c>
      <c r="H87" s="192" t="s">
        <v>124</v>
      </c>
      <c r="I87" s="727" t="s">
        <v>222</v>
      </c>
      <c r="J87" s="728"/>
      <c r="K87" s="729"/>
      <c r="L87" s="187"/>
    </row>
    <row r="88" spans="1:12" ht="22.9" customHeight="1">
      <c r="A88" s="194" t="s">
        <v>123</v>
      </c>
      <c r="B88" s="121"/>
      <c r="C88" s="105">
        <f>'13'!$H$8</f>
        <v>0</v>
      </c>
      <c r="D88" s="105">
        <f>'13'!$H$24</f>
        <v>0</v>
      </c>
      <c r="E88" s="195">
        <f>'13'!$H$39</f>
        <v>0</v>
      </c>
      <c r="F88" s="210"/>
      <c r="G88" s="194" t="s">
        <v>123</v>
      </c>
      <c r="H88" s="121"/>
      <c r="I88" s="105">
        <f>'14'!$H$8</f>
        <v>0</v>
      </c>
      <c r="J88" s="105">
        <f>'14'!$H$24</f>
        <v>0</v>
      </c>
      <c r="K88" s="195">
        <f>'14'!$H$39</f>
        <v>0</v>
      </c>
      <c r="L88" s="187"/>
    </row>
    <row r="89" spans="1:12" ht="22.9" customHeight="1">
      <c r="A89" s="194" t="s">
        <v>75</v>
      </c>
      <c r="B89" s="106" t="str">
        <f>'13'!$I$2</f>
        <v>low</v>
      </c>
      <c r="C89" s="106">
        <f>'13'!$I$8</f>
        <v>0</v>
      </c>
      <c r="D89" s="106">
        <f>'13'!$I$24</f>
        <v>0</v>
      </c>
      <c r="E89" s="197">
        <f>'13'!$I$39</f>
        <v>0</v>
      </c>
      <c r="F89" s="210"/>
      <c r="G89" s="194" t="s">
        <v>75</v>
      </c>
      <c r="H89" s="106" t="str">
        <f>'14'!$I$2</f>
        <v>low</v>
      </c>
      <c r="I89" s="106">
        <f>'14'!$I$8</f>
        <v>0</v>
      </c>
      <c r="J89" s="106">
        <f>'14'!$I$24</f>
        <v>0</v>
      </c>
      <c r="K89" s="197">
        <f>'14'!$I$39</f>
        <v>0</v>
      </c>
      <c r="L89" s="187"/>
    </row>
    <row r="90" spans="1:12" ht="22.9" customHeight="1">
      <c r="A90" s="194" t="s">
        <v>23</v>
      </c>
      <c r="B90" s="107">
        <f>'13'!$J$2</f>
        <v>0</v>
      </c>
      <c r="C90" s="107">
        <f>'13'!$J$8</f>
        <v>0</v>
      </c>
      <c r="D90" s="107">
        <f>'13'!$J$24</f>
        <v>0</v>
      </c>
      <c r="E90" s="198">
        <f>'13'!$J$39</f>
        <v>0</v>
      </c>
      <c r="F90" s="210"/>
      <c r="G90" s="194" t="s">
        <v>23</v>
      </c>
      <c r="H90" s="107">
        <f>'1'!$J$2</f>
        <v>0</v>
      </c>
      <c r="I90" s="107">
        <f>'14'!$J$8</f>
        <v>0</v>
      </c>
      <c r="J90" s="107">
        <f>'14'!$J$24</f>
        <v>0</v>
      </c>
      <c r="K90" s="198">
        <f>'14'!$J$39</f>
        <v>0</v>
      </c>
      <c r="L90" s="187"/>
    </row>
    <row r="91" spans="1:12" ht="22.9" customHeight="1">
      <c r="A91" s="194" t="s">
        <v>5</v>
      </c>
      <c r="B91" s="199">
        <f>'13'!$K$2</f>
        <v>0</v>
      </c>
      <c r="C91" s="108"/>
      <c r="D91" s="108"/>
      <c r="E91" s="109"/>
      <c r="F91" s="210"/>
      <c r="G91" s="194" t="s">
        <v>5</v>
      </c>
      <c r="H91" s="199">
        <f>'14'!$K$2</f>
        <v>0</v>
      </c>
      <c r="I91" s="108"/>
      <c r="J91" s="108"/>
      <c r="K91" s="109"/>
      <c r="L91" s="187"/>
    </row>
    <row r="92" spans="1:12" ht="22.9" customHeight="1">
      <c r="A92" s="194" t="s">
        <v>4</v>
      </c>
      <c r="B92" s="200">
        <f>'13'!$L$2</f>
        <v>0</v>
      </c>
      <c r="C92" s="110"/>
      <c r="D92" s="110"/>
      <c r="E92" s="111"/>
      <c r="F92" s="210"/>
      <c r="G92" s="194" t="s">
        <v>4</v>
      </c>
      <c r="H92" s="200">
        <f>'14'!$L$2</f>
        <v>0</v>
      </c>
      <c r="I92" s="110"/>
      <c r="J92" s="110"/>
      <c r="K92" s="111"/>
      <c r="L92" s="187"/>
    </row>
    <row r="93" spans="1:12" ht="22.9" customHeight="1" thickBot="1">
      <c r="A93" s="201" t="s">
        <v>8</v>
      </c>
      <c r="B93" s="202">
        <f>'13'!$G$2</f>
        <v>0</v>
      </c>
      <c r="C93" s="112"/>
      <c r="D93" s="112"/>
      <c r="E93" s="113"/>
      <c r="F93" s="206"/>
      <c r="G93" s="201" t="s">
        <v>8</v>
      </c>
      <c r="H93" s="202">
        <f>'14'!$G$2</f>
        <v>0</v>
      </c>
      <c r="I93" s="112"/>
      <c r="J93" s="112"/>
      <c r="K93" s="113"/>
      <c r="L93" s="187"/>
    </row>
    <row r="94" spans="1:12" ht="22.9" customHeight="1" thickBot="1">
      <c r="A94" s="115" t="s">
        <v>122</v>
      </c>
      <c r="B94" s="116"/>
      <c r="C94" s="204" t="str">
        <f>('13'!C16&amp;" "&amp;'13'!B16)</f>
        <v xml:space="preserve"> </v>
      </c>
      <c r="D94" s="204" t="str">
        <f>('13'!C31&amp;" "&amp;'13'!B31)</f>
        <v xml:space="preserve"> </v>
      </c>
      <c r="E94" s="204" t="str">
        <f>('13'!C46&amp;" "&amp;'13'!B46)</f>
        <v xml:space="preserve"> </v>
      </c>
      <c r="F94" s="206"/>
      <c r="G94" s="115" t="s">
        <v>122</v>
      </c>
      <c r="H94" s="116"/>
      <c r="I94" s="204" t="str">
        <f>('14'!C16&amp;" "&amp;'14'!B16)</f>
        <v xml:space="preserve"> </v>
      </c>
      <c r="J94" s="204" t="str">
        <f>('14'!C31&amp;" "&amp;'14'!B31)</f>
        <v xml:space="preserve"> </v>
      </c>
      <c r="K94" s="204" t="str">
        <f>('14'!C46&amp;" "&amp;'14'!B46)</f>
        <v xml:space="preserve"> </v>
      </c>
      <c r="L94" s="187"/>
    </row>
    <row r="95" spans="1:12" ht="22.9" customHeight="1" thickBot="1">
      <c r="A95" s="117" t="s">
        <v>81</v>
      </c>
      <c r="B95" s="118"/>
      <c r="C95" s="204" t="str">
        <f>('13'!C17&amp;" "&amp;'13'!B17)</f>
        <v xml:space="preserve"> </v>
      </c>
      <c r="D95" s="204" t="str">
        <f>('13'!C32&amp;" "&amp;'13'!B32)</f>
        <v xml:space="preserve"> </v>
      </c>
      <c r="E95" s="204" t="str">
        <f>('13'!C47&amp;" "&amp;'13'!B47)</f>
        <v xml:space="preserve"> </v>
      </c>
      <c r="F95" s="206"/>
      <c r="G95" s="117" t="s">
        <v>81</v>
      </c>
      <c r="H95" s="118"/>
      <c r="I95" s="204" t="str">
        <f>('14'!C17&amp;" "&amp;'14'!B17)</f>
        <v xml:space="preserve"> </v>
      </c>
      <c r="J95" s="204" t="str">
        <f>('14'!C32&amp;" "&amp;'14'!B32)</f>
        <v xml:space="preserve"> </v>
      </c>
      <c r="K95" s="204" t="str">
        <f>('14'!C47&amp;" "&amp;'14'!B47)</f>
        <v xml:space="preserve"> </v>
      </c>
      <c r="L95" s="187"/>
    </row>
    <row r="96" spans="1:12" ht="22.9" customHeight="1" thickBot="1">
      <c r="A96" s="117" t="s">
        <v>83</v>
      </c>
      <c r="B96" s="118"/>
      <c r="C96" s="204" t="str">
        <f>('13'!C18&amp;" "&amp;'13'!B18)</f>
        <v xml:space="preserve"> </v>
      </c>
      <c r="D96" s="204" t="str">
        <f>('13'!C33&amp;" "&amp;'13'!B33)</f>
        <v xml:space="preserve"> </v>
      </c>
      <c r="E96" s="204" t="str">
        <f>('13'!C48&amp;" "&amp;'13'!B48)</f>
        <v xml:space="preserve"> </v>
      </c>
      <c r="F96" s="206"/>
      <c r="G96" s="117" t="s">
        <v>83</v>
      </c>
      <c r="H96" s="118"/>
      <c r="I96" s="204" t="str">
        <f>('14'!C18&amp;" "&amp;'14'!B18)</f>
        <v xml:space="preserve"> </v>
      </c>
      <c r="J96" s="204" t="str">
        <f>('14'!C33&amp;" "&amp;'14'!B33)</f>
        <v xml:space="preserve"> </v>
      </c>
      <c r="K96" s="204" t="str">
        <f>('14'!C48&amp;" "&amp;'14'!B48)</f>
        <v xml:space="preserve"> </v>
      </c>
      <c r="L96" s="187"/>
    </row>
    <row r="97" spans="1:12" ht="22.9" customHeight="1" thickBot="1">
      <c r="A97" s="119" t="s">
        <v>82</v>
      </c>
      <c r="B97" s="120"/>
      <c r="C97" s="204" t="str">
        <f>('13'!C19&amp;" "&amp;'13'!B19)</f>
        <v xml:space="preserve"> </v>
      </c>
      <c r="D97" s="204" t="str">
        <f>('13'!C34&amp;" "&amp;'13'!B34)</f>
        <v xml:space="preserve"> </v>
      </c>
      <c r="E97" s="204" t="str">
        <f>('13'!C49&amp;" "&amp;'13'!B49)</f>
        <v xml:space="preserve"> </v>
      </c>
      <c r="F97" s="206"/>
      <c r="G97" s="119" t="s">
        <v>82</v>
      </c>
      <c r="H97" s="120"/>
      <c r="I97" s="204" t="str">
        <f>('14'!C19&amp;" "&amp;'14'!B19)</f>
        <v xml:space="preserve"> </v>
      </c>
      <c r="J97" s="204" t="str">
        <f>('14'!C34&amp;" "&amp;'14'!B34)</f>
        <v xml:space="preserve"> </v>
      </c>
      <c r="K97" s="204" t="str">
        <f>('14'!C49&amp;" "&amp;'14'!B49)</f>
        <v xml:space="preserve"> </v>
      </c>
      <c r="L97" s="187"/>
    </row>
    <row r="98" spans="1:12" ht="22.9" customHeight="1" thickBot="1">
      <c r="A98" s="187"/>
      <c r="B98" s="187"/>
      <c r="C98" s="187"/>
      <c r="D98" s="187"/>
      <c r="E98" s="187"/>
      <c r="F98" s="206"/>
      <c r="G98" s="187"/>
      <c r="H98" s="187"/>
      <c r="I98" s="187"/>
      <c r="J98" s="187"/>
      <c r="K98" s="187"/>
      <c r="L98" s="187"/>
    </row>
    <row r="99" spans="1:12" ht="22.9" customHeight="1">
      <c r="A99" s="183">
        <f>'Field Info'!A18</f>
        <v>0</v>
      </c>
      <c r="B99" s="184">
        <f>'15'!$B$2</f>
        <v>0</v>
      </c>
      <c r="C99" s="184">
        <f>'15'!$I$5</f>
        <v>0</v>
      </c>
      <c r="D99" s="184">
        <f>'15'!$I$21</f>
        <v>0</v>
      </c>
      <c r="E99" s="185">
        <f>'15'!$I$36</f>
        <v>0</v>
      </c>
      <c r="F99" s="210"/>
      <c r="G99" s="183">
        <f>'Field Info'!A19</f>
        <v>0</v>
      </c>
      <c r="H99" s="184">
        <f>'16'!$B$2</f>
        <v>0</v>
      </c>
      <c r="I99" s="184">
        <f>'16'!$I$5</f>
        <v>0</v>
      </c>
      <c r="J99" s="184">
        <f>'16'!$I$21</f>
        <v>0</v>
      </c>
      <c r="K99" s="185">
        <f>'16'!$I$36</f>
        <v>0</v>
      </c>
      <c r="L99" s="187"/>
    </row>
    <row r="100" spans="1:12" ht="22.9" customHeight="1">
      <c r="A100" s="188"/>
      <c r="B100" s="189" t="s">
        <v>11</v>
      </c>
      <c r="C100" s="186">
        <f>'15'!$B$5</f>
        <v>0</v>
      </c>
      <c r="D100" s="186">
        <f>'15'!$B$21</f>
        <v>0</v>
      </c>
      <c r="E100" s="190">
        <f>'15'!$B$36</f>
        <v>0</v>
      </c>
      <c r="F100" s="210"/>
      <c r="G100" s="188"/>
      <c r="H100" s="189" t="s">
        <v>11</v>
      </c>
      <c r="I100" s="186">
        <f>'16'!$B$5</f>
        <v>0</v>
      </c>
      <c r="J100" s="186">
        <f>'16'!$B$21</f>
        <v>0</v>
      </c>
      <c r="K100" s="190">
        <f>'16'!$B$36</f>
        <v>0</v>
      </c>
      <c r="L100" s="187"/>
    </row>
    <row r="101" spans="1:12" ht="22.9" customHeight="1">
      <c r="A101" s="191" t="s">
        <v>125</v>
      </c>
      <c r="B101" s="192" t="s">
        <v>124</v>
      </c>
      <c r="C101" s="727" t="s">
        <v>222</v>
      </c>
      <c r="D101" s="728"/>
      <c r="E101" s="729"/>
      <c r="F101" s="210"/>
      <c r="G101" s="191" t="s">
        <v>125</v>
      </c>
      <c r="H101" s="192" t="s">
        <v>124</v>
      </c>
      <c r="I101" s="727" t="s">
        <v>222</v>
      </c>
      <c r="J101" s="728"/>
      <c r="K101" s="729"/>
      <c r="L101" s="187"/>
    </row>
    <row r="102" spans="1:12" ht="22.9" customHeight="1">
      <c r="A102" s="194" t="s">
        <v>123</v>
      </c>
      <c r="B102" s="121"/>
      <c r="C102" s="105">
        <f>'15'!$H$8</f>
        <v>0</v>
      </c>
      <c r="D102" s="105">
        <f>'15'!$H$24</f>
        <v>0</v>
      </c>
      <c r="E102" s="195">
        <f>'15'!$H$39</f>
        <v>0</v>
      </c>
      <c r="F102" s="210"/>
      <c r="G102" s="194" t="s">
        <v>123</v>
      </c>
      <c r="H102" s="121"/>
      <c r="I102" s="105">
        <f>'16'!$H$8</f>
        <v>0</v>
      </c>
      <c r="J102" s="105">
        <f>'16'!$H$24</f>
        <v>0</v>
      </c>
      <c r="K102" s="195">
        <f>'16'!$H$39</f>
        <v>0</v>
      </c>
      <c r="L102" s="187"/>
    </row>
    <row r="103" spans="1:12" ht="22.9" customHeight="1">
      <c r="A103" s="194" t="s">
        <v>75</v>
      </c>
      <c r="B103" s="106" t="str">
        <f>'15'!$I$2</f>
        <v>low</v>
      </c>
      <c r="C103" s="106">
        <f>'15'!$I$8</f>
        <v>0</v>
      </c>
      <c r="D103" s="106">
        <f>'15'!$I$24</f>
        <v>0</v>
      </c>
      <c r="E103" s="197">
        <f>'15'!$I$39</f>
        <v>0</v>
      </c>
      <c r="F103" s="210"/>
      <c r="G103" s="194" t="s">
        <v>75</v>
      </c>
      <c r="H103" s="106" t="str">
        <f>'16'!$I$2</f>
        <v>low</v>
      </c>
      <c r="I103" s="106">
        <f>'16'!$I$8</f>
        <v>0</v>
      </c>
      <c r="J103" s="106">
        <f>'16'!$I$24</f>
        <v>0</v>
      </c>
      <c r="K103" s="197">
        <f>'16'!$I$39</f>
        <v>0</v>
      </c>
      <c r="L103" s="187"/>
    </row>
    <row r="104" spans="1:12" ht="22.9" customHeight="1">
      <c r="A104" s="194" t="s">
        <v>23</v>
      </c>
      <c r="B104" s="107">
        <f>'15'!$J$2</f>
        <v>0</v>
      </c>
      <c r="C104" s="107">
        <f>'15'!$J$8</f>
        <v>0</v>
      </c>
      <c r="D104" s="107">
        <f>'15'!$J$24</f>
        <v>0</v>
      </c>
      <c r="E104" s="198">
        <f>'15'!$J$39</f>
        <v>0</v>
      </c>
      <c r="F104" s="210"/>
      <c r="G104" s="194" t="s">
        <v>23</v>
      </c>
      <c r="H104" s="107">
        <f>'16'!$J$2</f>
        <v>0</v>
      </c>
      <c r="I104" s="107">
        <f>'16'!$J$8</f>
        <v>0</v>
      </c>
      <c r="J104" s="107">
        <f>'16'!$J$24</f>
        <v>0</v>
      </c>
      <c r="K104" s="198">
        <f>'16'!$J$39</f>
        <v>0</v>
      </c>
      <c r="L104" s="187"/>
    </row>
    <row r="105" spans="1:12" ht="22.9" customHeight="1">
      <c r="A105" s="194" t="s">
        <v>5</v>
      </c>
      <c r="B105" s="199">
        <f>'15'!$K$2</f>
        <v>0</v>
      </c>
      <c r="C105" s="108"/>
      <c r="D105" s="108"/>
      <c r="E105" s="109"/>
      <c r="F105" s="210"/>
      <c r="G105" s="194" t="s">
        <v>5</v>
      </c>
      <c r="H105" s="199">
        <f>'16'!$K$2</f>
        <v>0</v>
      </c>
      <c r="I105" s="108"/>
      <c r="J105" s="108"/>
      <c r="K105" s="109"/>
      <c r="L105" s="187"/>
    </row>
    <row r="106" spans="1:12" ht="22.9" customHeight="1">
      <c r="A106" s="194" t="s">
        <v>4</v>
      </c>
      <c r="B106" s="200">
        <f>'15'!$L$2</f>
        <v>0</v>
      </c>
      <c r="C106" s="110"/>
      <c r="D106" s="110"/>
      <c r="E106" s="111"/>
      <c r="F106" s="210"/>
      <c r="G106" s="194" t="s">
        <v>4</v>
      </c>
      <c r="H106" s="200">
        <f>'16'!$L$2</f>
        <v>0</v>
      </c>
      <c r="I106" s="110"/>
      <c r="J106" s="110"/>
      <c r="K106" s="111"/>
      <c r="L106" s="187"/>
    </row>
    <row r="107" spans="1:12" ht="22.9" customHeight="1" thickBot="1">
      <c r="A107" s="201" t="s">
        <v>8</v>
      </c>
      <c r="B107" s="202">
        <f>'15'!$G$2</f>
        <v>0</v>
      </c>
      <c r="C107" s="112"/>
      <c r="D107" s="112"/>
      <c r="E107" s="113"/>
      <c r="F107" s="206"/>
      <c r="G107" s="201" t="s">
        <v>8</v>
      </c>
      <c r="H107" s="202">
        <f>'16'!$G$2</f>
        <v>0</v>
      </c>
      <c r="I107" s="112"/>
      <c r="J107" s="112"/>
      <c r="K107" s="113"/>
      <c r="L107" s="187"/>
    </row>
    <row r="108" spans="1:12" ht="22.9" customHeight="1" thickBot="1">
      <c r="A108" s="115" t="s">
        <v>122</v>
      </c>
      <c r="B108" s="116"/>
      <c r="C108" s="204" t="str">
        <f>('15'!C16&amp;" "&amp;'15'!B16)</f>
        <v xml:space="preserve"> </v>
      </c>
      <c r="D108" s="204" t="str">
        <f>('15'!C16&amp;" "&amp;'15'!B16)</f>
        <v xml:space="preserve"> </v>
      </c>
      <c r="E108" s="204" t="str">
        <f>('15'!C46&amp;" "&amp;'15'!B46)</f>
        <v xml:space="preserve"> </v>
      </c>
      <c r="F108" s="206"/>
      <c r="G108" s="115" t="s">
        <v>122</v>
      </c>
      <c r="H108" s="116"/>
      <c r="I108" s="204" t="str">
        <f>('16'!C16&amp;" "&amp;'16'!B16)</f>
        <v xml:space="preserve"> </v>
      </c>
      <c r="J108" s="204" t="str">
        <f>('16'!C31&amp;" "&amp;'16'!B31)</f>
        <v xml:space="preserve"> </v>
      </c>
      <c r="K108" s="204" t="str">
        <f>('16'!C46&amp;" "&amp;'16'!B46)</f>
        <v xml:space="preserve"> </v>
      </c>
      <c r="L108" s="187"/>
    </row>
    <row r="109" spans="1:12" ht="22.9" customHeight="1" thickBot="1">
      <c r="A109" s="117" t="s">
        <v>81</v>
      </c>
      <c r="B109" s="118"/>
      <c r="C109" s="204" t="str">
        <f>('15'!C17&amp;" "&amp;'15'!B17)</f>
        <v xml:space="preserve"> </v>
      </c>
      <c r="D109" s="204" t="str">
        <f>('15'!C17&amp;" "&amp;'15'!B17)</f>
        <v xml:space="preserve"> </v>
      </c>
      <c r="E109" s="204" t="str">
        <f>('15'!C47&amp;" "&amp;'15'!B47)</f>
        <v xml:space="preserve"> </v>
      </c>
      <c r="F109" s="206"/>
      <c r="G109" s="117" t="s">
        <v>81</v>
      </c>
      <c r="H109" s="118"/>
      <c r="I109" s="204" t="str">
        <f>('16'!C17&amp;" "&amp;'16'!B17)</f>
        <v xml:space="preserve"> </v>
      </c>
      <c r="J109" s="204" t="str">
        <f>('16'!C32&amp;" "&amp;'16'!B32)</f>
        <v xml:space="preserve"> </v>
      </c>
      <c r="K109" s="204" t="str">
        <f>('16'!C47&amp;" "&amp;'16'!B47)</f>
        <v xml:space="preserve"> </v>
      </c>
      <c r="L109" s="187"/>
    </row>
    <row r="110" spans="1:12" ht="22.9" customHeight="1" thickBot="1">
      <c r="A110" s="117" t="s">
        <v>83</v>
      </c>
      <c r="B110" s="118"/>
      <c r="C110" s="204" t="str">
        <f>('15'!C18&amp;" "&amp;'15'!B18)</f>
        <v xml:space="preserve"> </v>
      </c>
      <c r="D110" s="204" t="str">
        <f>('15'!C18&amp;" "&amp;'15'!B18)</f>
        <v xml:space="preserve"> </v>
      </c>
      <c r="E110" s="204" t="str">
        <f>('15'!C48&amp;" "&amp;'15'!B48)</f>
        <v xml:space="preserve"> </v>
      </c>
      <c r="F110" s="206"/>
      <c r="G110" s="117" t="s">
        <v>83</v>
      </c>
      <c r="H110" s="118"/>
      <c r="I110" s="204" t="str">
        <f>('16'!C18&amp;" "&amp;'16'!B18)</f>
        <v xml:space="preserve"> </v>
      </c>
      <c r="J110" s="204" t="str">
        <f>('16'!C33&amp;" "&amp;'16'!B33)</f>
        <v xml:space="preserve"> </v>
      </c>
      <c r="K110" s="204" t="str">
        <f>('16'!C48&amp;" "&amp;'16'!B48)</f>
        <v xml:space="preserve"> </v>
      </c>
      <c r="L110" s="187"/>
    </row>
    <row r="111" spans="1:12" ht="22.9" customHeight="1" thickBot="1">
      <c r="A111" s="119" t="s">
        <v>82</v>
      </c>
      <c r="B111" s="120"/>
      <c r="C111" s="204" t="str">
        <f>('15'!C19&amp;" "&amp;'15'!B19)</f>
        <v xml:space="preserve"> </v>
      </c>
      <c r="D111" s="204" t="str">
        <f>('15'!C19&amp;" "&amp;'15'!B19)</f>
        <v xml:space="preserve"> </v>
      </c>
      <c r="E111" s="204" t="str">
        <f>('15'!C49&amp;" "&amp;'15'!B49)</f>
        <v xml:space="preserve"> </v>
      </c>
      <c r="F111" s="206"/>
      <c r="G111" s="119" t="s">
        <v>82</v>
      </c>
      <c r="H111" s="120"/>
      <c r="I111" s="204" t="str">
        <f>('16'!C19&amp;" "&amp;'16'!B19)</f>
        <v xml:space="preserve"> </v>
      </c>
      <c r="J111" s="204" t="str">
        <f>('16'!C34&amp;" "&amp;'16'!B34)</f>
        <v xml:space="preserve"> </v>
      </c>
      <c r="K111" s="204" t="str">
        <f>('16'!C49&amp;" "&amp;'16'!B49)</f>
        <v xml:space="preserve"> </v>
      </c>
      <c r="L111" s="187"/>
    </row>
    <row r="112" spans="1:12" ht="22.9" customHeight="1" thickBot="1">
      <c r="A112" s="187"/>
      <c r="B112" s="187"/>
      <c r="C112" s="187"/>
      <c r="D112" s="187"/>
      <c r="E112" s="187"/>
      <c r="F112" s="206"/>
      <c r="G112" s="187"/>
      <c r="H112" s="187"/>
      <c r="I112" s="187"/>
      <c r="J112" s="187"/>
      <c r="K112" s="187"/>
      <c r="L112" s="187"/>
    </row>
    <row r="113" spans="1:12" ht="22.9" customHeight="1">
      <c r="A113" s="183">
        <f>'Field Info'!A20</f>
        <v>0</v>
      </c>
      <c r="B113" s="184">
        <f>'17'!$B$2</f>
        <v>0</v>
      </c>
      <c r="C113" s="184">
        <f>'17'!$I$5</f>
        <v>0</v>
      </c>
      <c r="D113" s="184">
        <f>'17'!$I$21</f>
        <v>0</v>
      </c>
      <c r="E113" s="185">
        <f>'17'!$I$36</f>
        <v>0</v>
      </c>
      <c r="F113" s="210"/>
      <c r="G113" s="183">
        <f>'Field Info'!A21</f>
        <v>0</v>
      </c>
      <c r="H113" s="184">
        <f>'18'!$B$2</f>
        <v>0</v>
      </c>
      <c r="I113" s="184">
        <f>'18'!$I$5</f>
        <v>0</v>
      </c>
      <c r="J113" s="184">
        <f>'18'!$I$21</f>
        <v>0</v>
      </c>
      <c r="K113" s="185">
        <f>'18'!$I$36</f>
        <v>0</v>
      </c>
      <c r="L113" s="187"/>
    </row>
    <row r="114" spans="1:12" ht="22.9" customHeight="1">
      <c r="A114" s="188"/>
      <c r="B114" s="189" t="s">
        <v>11</v>
      </c>
      <c r="C114" s="186">
        <f>'17'!$B$5</f>
        <v>0</v>
      </c>
      <c r="D114" s="186">
        <f>'17'!$B$21</f>
        <v>0</v>
      </c>
      <c r="E114" s="190">
        <f>'17'!$B$36</f>
        <v>0</v>
      </c>
      <c r="F114" s="210"/>
      <c r="G114" s="188"/>
      <c r="H114" s="189" t="s">
        <v>11</v>
      </c>
      <c r="I114" s="186">
        <f>'18'!$B$5</f>
        <v>0</v>
      </c>
      <c r="J114" s="186">
        <f>'18'!$B$21</f>
        <v>0</v>
      </c>
      <c r="K114" s="190">
        <f>'18'!$B$36</f>
        <v>0</v>
      </c>
      <c r="L114" s="187"/>
    </row>
    <row r="115" spans="1:12" ht="22.9" customHeight="1">
      <c r="A115" s="191" t="s">
        <v>125</v>
      </c>
      <c r="B115" s="192" t="s">
        <v>124</v>
      </c>
      <c r="C115" s="727" t="s">
        <v>222</v>
      </c>
      <c r="D115" s="728"/>
      <c r="E115" s="729"/>
      <c r="F115" s="210"/>
      <c r="G115" s="191" t="s">
        <v>125</v>
      </c>
      <c r="H115" s="192" t="s">
        <v>124</v>
      </c>
      <c r="I115" s="727" t="s">
        <v>222</v>
      </c>
      <c r="J115" s="728"/>
      <c r="K115" s="729"/>
      <c r="L115" s="187"/>
    </row>
    <row r="116" spans="1:12" ht="22.9" customHeight="1">
      <c r="A116" s="194" t="s">
        <v>123</v>
      </c>
      <c r="B116" s="121"/>
      <c r="C116" s="105">
        <f>'17'!$H$8</f>
        <v>0</v>
      </c>
      <c r="D116" s="105">
        <f>'17'!$H$24</f>
        <v>0</v>
      </c>
      <c r="E116" s="195">
        <f>'17'!$H$39</f>
        <v>0</v>
      </c>
      <c r="F116" s="210"/>
      <c r="G116" s="194" t="s">
        <v>123</v>
      </c>
      <c r="H116" s="121"/>
      <c r="I116" s="105">
        <f>'18'!$H$8</f>
        <v>0</v>
      </c>
      <c r="J116" s="105">
        <f>'18'!$H$24</f>
        <v>0</v>
      </c>
      <c r="K116" s="195">
        <f>'18'!$H$39</f>
        <v>0</v>
      </c>
      <c r="L116" s="187"/>
    </row>
    <row r="117" spans="1:12" ht="22.9" customHeight="1">
      <c r="A117" s="194" t="s">
        <v>75</v>
      </c>
      <c r="B117" s="106" t="str">
        <f>'17'!$I$2</f>
        <v>low</v>
      </c>
      <c r="C117" s="106">
        <f>'17'!$I$8</f>
        <v>0</v>
      </c>
      <c r="D117" s="106">
        <f>'17'!$I$24</f>
        <v>0</v>
      </c>
      <c r="E117" s="197">
        <f>'17'!$I$39</f>
        <v>0</v>
      </c>
      <c r="F117" s="210"/>
      <c r="G117" s="194" t="s">
        <v>75</v>
      </c>
      <c r="H117" s="106" t="str">
        <f>'18'!$I$2</f>
        <v>low</v>
      </c>
      <c r="I117" s="106">
        <f>'18'!$I$8</f>
        <v>0</v>
      </c>
      <c r="J117" s="106">
        <f>'18'!$I$24</f>
        <v>0</v>
      </c>
      <c r="K117" s="197">
        <f>'18'!$I$39</f>
        <v>0</v>
      </c>
      <c r="L117" s="187"/>
    </row>
    <row r="118" spans="1:12" ht="22.9" customHeight="1">
      <c r="A118" s="194" t="s">
        <v>23</v>
      </c>
      <c r="B118" s="107">
        <f>'17'!$J$2</f>
        <v>0</v>
      </c>
      <c r="C118" s="107">
        <f>'17'!$J$8</f>
        <v>0</v>
      </c>
      <c r="D118" s="107">
        <f>'17'!$J$24</f>
        <v>0</v>
      </c>
      <c r="E118" s="198">
        <f>'17'!$J$39</f>
        <v>0</v>
      </c>
      <c r="F118" s="210"/>
      <c r="G118" s="194" t="s">
        <v>23</v>
      </c>
      <c r="H118" s="107">
        <f>'18'!$J$2</f>
        <v>0</v>
      </c>
      <c r="I118" s="107">
        <f>'18'!$J$8</f>
        <v>0</v>
      </c>
      <c r="J118" s="107">
        <f>'18'!$J$24</f>
        <v>0</v>
      </c>
      <c r="K118" s="198">
        <f>'18'!$J$39</f>
        <v>0</v>
      </c>
      <c r="L118" s="187"/>
    </row>
    <row r="119" spans="1:12" ht="22.9" customHeight="1">
      <c r="A119" s="194" t="s">
        <v>5</v>
      </c>
      <c r="B119" s="199">
        <f>'17'!$K$2</f>
        <v>0</v>
      </c>
      <c r="C119" s="108"/>
      <c r="D119" s="108"/>
      <c r="E119" s="109"/>
      <c r="F119" s="210"/>
      <c r="G119" s="194" t="s">
        <v>5</v>
      </c>
      <c r="H119" s="199">
        <f>'18'!$K$2</f>
        <v>0</v>
      </c>
      <c r="I119" s="108"/>
      <c r="J119" s="108"/>
      <c r="K119" s="109"/>
      <c r="L119" s="187"/>
    </row>
    <row r="120" spans="1:12" ht="22.9" customHeight="1">
      <c r="A120" s="194" t="s">
        <v>4</v>
      </c>
      <c r="B120" s="200">
        <f>'17'!$L$2</f>
        <v>0</v>
      </c>
      <c r="C120" s="110"/>
      <c r="D120" s="110"/>
      <c r="E120" s="111"/>
      <c r="F120" s="210"/>
      <c r="G120" s="194" t="s">
        <v>4</v>
      </c>
      <c r="H120" s="200">
        <f>'18'!$L$2</f>
        <v>0</v>
      </c>
      <c r="I120" s="110"/>
      <c r="J120" s="110"/>
      <c r="K120" s="111"/>
      <c r="L120" s="187"/>
    </row>
    <row r="121" spans="1:12" ht="22.9" customHeight="1" thickBot="1">
      <c r="A121" s="201" t="s">
        <v>8</v>
      </c>
      <c r="B121" s="202">
        <f>'17'!$G$2</f>
        <v>0</v>
      </c>
      <c r="C121" s="112"/>
      <c r="D121" s="112"/>
      <c r="E121" s="113"/>
      <c r="F121" s="206"/>
      <c r="G121" s="201" t="s">
        <v>8</v>
      </c>
      <c r="H121" s="202">
        <f>'18'!$G$2</f>
        <v>0</v>
      </c>
      <c r="I121" s="112"/>
      <c r="J121" s="112"/>
      <c r="K121" s="113"/>
      <c r="L121" s="187"/>
    </row>
    <row r="122" spans="1:12" ht="22.9" customHeight="1" thickBot="1">
      <c r="A122" s="115" t="s">
        <v>122</v>
      </c>
      <c r="B122" s="116"/>
      <c r="C122" s="204" t="str">
        <f>('17'!C16&amp;" "&amp;'17'!B16)</f>
        <v xml:space="preserve"> </v>
      </c>
      <c r="D122" s="204" t="str">
        <f>('17'!C31&amp;" "&amp;'17'!B31)</f>
        <v xml:space="preserve"> </v>
      </c>
      <c r="E122" s="204" t="str">
        <f>('17'!C46&amp;" "&amp;'17'!B46)</f>
        <v xml:space="preserve"> </v>
      </c>
      <c r="F122" s="206"/>
      <c r="G122" s="115" t="s">
        <v>122</v>
      </c>
      <c r="H122" s="116"/>
      <c r="I122" s="204" t="str">
        <f>('18'!IC16&amp;" "&amp;'18'!B16)</f>
        <v xml:space="preserve"> </v>
      </c>
      <c r="J122" s="204" t="str">
        <f>('18'!IC31&amp;" "&amp;'18'!B31)</f>
        <v xml:space="preserve"> </v>
      </c>
      <c r="K122" s="204" t="str">
        <f>('18'!IC46&amp;" "&amp;'18'!B46)</f>
        <v xml:space="preserve"> </v>
      </c>
      <c r="L122" s="187"/>
    </row>
    <row r="123" spans="1:12" ht="22.9" customHeight="1" thickBot="1">
      <c r="A123" s="117" t="s">
        <v>81</v>
      </c>
      <c r="B123" s="118"/>
      <c r="C123" s="204" t="str">
        <f>('17'!C17&amp;" "&amp;'17'!B17)</f>
        <v xml:space="preserve"> </v>
      </c>
      <c r="D123" s="204" t="str">
        <f>('17'!C32&amp;" "&amp;'17'!B32)</f>
        <v xml:space="preserve"> </v>
      </c>
      <c r="E123" s="204" t="str">
        <f>('17'!C47&amp;" "&amp;'17'!B47)</f>
        <v xml:space="preserve"> </v>
      </c>
      <c r="F123" s="206"/>
      <c r="G123" s="117" t="s">
        <v>81</v>
      </c>
      <c r="H123" s="118"/>
      <c r="I123" s="204" t="str">
        <f>('18'!IC17&amp;" "&amp;'18'!B17)</f>
        <v xml:space="preserve"> </v>
      </c>
      <c r="J123" s="204" t="str">
        <f>('18'!IC32&amp;" "&amp;'18'!B32)</f>
        <v xml:space="preserve"> </v>
      </c>
      <c r="K123" s="204" t="str">
        <f>('18'!IC47&amp;" "&amp;'18'!B47)</f>
        <v xml:space="preserve"> </v>
      </c>
      <c r="L123" s="187"/>
    </row>
    <row r="124" spans="1:12" ht="22.9" customHeight="1" thickBot="1">
      <c r="A124" s="117" t="s">
        <v>83</v>
      </c>
      <c r="B124" s="118"/>
      <c r="C124" s="204" t="str">
        <f>('17'!C18&amp;" "&amp;'17'!B18)</f>
        <v xml:space="preserve"> </v>
      </c>
      <c r="D124" s="204" t="str">
        <f>('17'!C33&amp;" "&amp;'17'!B33)</f>
        <v xml:space="preserve"> </v>
      </c>
      <c r="E124" s="204" t="str">
        <f>('17'!C48&amp;" "&amp;'17'!B48)</f>
        <v xml:space="preserve"> </v>
      </c>
      <c r="F124" s="206"/>
      <c r="G124" s="117" t="s">
        <v>83</v>
      </c>
      <c r="H124" s="118"/>
      <c r="I124" s="204" t="str">
        <f>('18'!IC18&amp;" "&amp;'18'!B18)</f>
        <v xml:space="preserve"> </v>
      </c>
      <c r="J124" s="204" t="str">
        <f>('18'!IC33&amp;" "&amp;'18'!B33)</f>
        <v xml:space="preserve"> </v>
      </c>
      <c r="K124" s="204" t="str">
        <f>('18'!IC48&amp;" "&amp;'18'!B48)</f>
        <v xml:space="preserve"> </v>
      </c>
      <c r="L124" s="187"/>
    </row>
    <row r="125" spans="1:12" ht="22.9" customHeight="1" thickBot="1">
      <c r="A125" s="119" t="s">
        <v>82</v>
      </c>
      <c r="B125" s="120"/>
      <c r="C125" s="204" t="str">
        <f>('17'!C19&amp;" "&amp;'17'!B19)</f>
        <v xml:space="preserve"> </v>
      </c>
      <c r="D125" s="204" t="str">
        <f>('17'!C34&amp;" "&amp;'17'!B34)</f>
        <v xml:space="preserve"> </v>
      </c>
      <c r="E125" s="204" t="str">
        <f>('17'!C49&amp;" "&amp;'17'!B49)</f>
        <v xml:space="preserve"> </v>
      </c>
      <c r="F125" s="206"/>
      <c r="G125" s="119" t="s">
        <v>82</v>
      </c>
      <c r="H125" s="120"/>
      <c r="I125" s="204" t="str">
        <f>('18'!IC19&amp;" "&amp;'18'!B19)</f>
        <v xml:space="preserve"> </v>
      </c>
      <c r="J125" s="204" t="str">
        <f>('18'!IC34&amp;" "&amp;'18'!B34)</f>
        <v xml:space="preserve"> </v>
      </c>
      <c r="K125" s="204" t="str">
        <f>('18'!IC49&amp;" "&amp;'18'!B49)</f>
        <v xml:space="preserve"> </v>
      </c>
      <c r="L125" s="187"/>
    </row>
    <row r="126" spans="1:12" ht="22.9" customHeight="1" thickBot="1">
      <c r="A126" s="187"/>
      <c r="B126" s="187"/>
      <c r="C126" s="187"/>
      <c r="D126" s="187"/>
      <c r="E126" s="187"/>
      <c r="F126" s="206"/>
      <c r="G126" s="187"/>
      <c r="H126" s="187"/>
      <c r="I126" s="187"/>
      <c r="J126" s="187"/>
      <c r="K126" s="187"/>
      <c r="L126" s="187"/>
    </row>
    <row r="127" spans="1:12" ht="22.9" customHeight="1">
      <c r="A127" s="183">
        <f>'Field Info'!A22</f>
        <v>0</v>
      </c>
      <c r="B127" s="184">
        <f>'19'!$B$2</f>
        <v>0</v>
      </c>
      <c r="C127" s="184">
        <f>'19'!$I$5</f>
        <v>0</v>
      </c>
      <c r="D127" s="184">
        <f>'19'!$I$21</f>
        <v>0</v>
      </c>
      <c r="E127" s="185">
        <f>'19'!$I$36</f>
        <v>0</v>
      </c>
      <c r="F127" s="210"/>
      <c r="G127" s="183">
        <f>'Field Info'!A23</f>
        <v>0</v>
      </c>
      <c r="H127" s="184">
        <f>'20'!$B$2</f>
        <v>0</v>
      </c>
      <c r="I127" s="184">
        <f>'20'!$I$5</f>
        <v>0</v>
      </c>
      <c r="J127" s="184">
        <f>'20'!$I$21</f>
        <v>0</v>
      </c>
      <c r="K127" s="185">
        <f>'20'!$I$36</f>
        <v>0</v>
      </c>
      <c r="L127" s="187"/>
    </row>
    <row r="128" spans="1:12" ht="22.9" customHeight="1">
      <c r="A128" s="188"/>
      <c r="B128" s="189" t="s">
        <v>11</v>
      </c>
      <c r="C128" s="186">
        <f>'19'!$B$5</f>
        <v>0</v>
      </c>
      <c r="D128" s="186">
        <f>'19'!$B$21</f>
        <v>0</v>
      </c>
      <c r="E128" s="190">
        <f>'19'!$B$36</f>
        <v>0</v>
      </c>
      <c r="F128" s="210"/>
      <c r="G128" s="188"/>
      <c r="H128" s="189" t="s">
        <v>11</v>
      </c>
      <c r="I128" s="186">
        <f>'20'!$B$5</f>
        <v>0</v>
      </c>
      <c r="J128" s="186">
        <f>'20'!$B$21</f>
        <v>0</v>
      </c>
      <c r="K128" s="190">
        <f>'20'!$B$36</f>
        <v>0</v>
      </c>
      <c r="L128" s="187"/>
    </row>
    <row r="129" spans="1:12" ht="22.9" customHeight="1">
      <c r="A129" s="191" t="s">
        <v>125</v>
      </c>
      <c r="B129" s="192" t="s">
        <v>124</v>
      </c>
      <c r="C129" s="727" t="s">
        <v>222</v>
      </c>
      <c r="D129" s="728"/>
      <c r="E129" s="729"/>
      <c r="F129" s="210"/>
      <c r="G129" s="191" t="s">
        <v>125</v>
      </c>
      <c r="H129" s="192" t="s">
        <v>124</v>
      </c>
      <c r="I129" s="727" t="s">
        <v>222</v>
      </c>
      <c r="J129" s="728"/>
      <c r="K129" s="729"/>
      <c r="L129" s="187"/>
    </row>
    <row r="130" spans="1:12" ht="22.9" customHeight="1">
      <c r="A130" s="194" t="s">
        <v>123</v>
      </c>
      <c r="B130" s="121"/>
      <c r="C130" s="105">
        <f>'19'!$H$8</f>
        <v>0</v>
      </c>
      <c r="D130" s="105">
        <f>'19'!$H$24</f>
        <v>0</v>
      </c>
      <c r="E130" s="195">
        <f>'19'!$H$39</f>
        <v>0</v>
      </c>
      <c r="F130" s="210"/>
      <c r="G130" s="194" t="s">
        <v>123</v>
      </c>
      <c r="H130" s="121"/>
      <c r="I130" s="105">
        <f>'20'!$H$8</f>
        <v>0</v>
      </c>
      <c r="J130" s="105">
        <f>'20'!$H$24</f>
        <v>0</v>
      </c>
      <c r="K130" s="195">
        <f>'20'!$H$39</f>
        <v>0</v>
      </c>
      <c r="L130" s="187"/>
    </row>
    <row r="131" spans="1:12" ht="22.9" customHeight="1">
      <c r="A131" s="194" t="s">
        <v>75</v>
      </c>
      <c r="B131" s="106" t="str">
        <f>'19'!$I$2</f>
        <v>low</v>
      </c>
      <c r="C131" s="106">
        <f>'19'!$I$8</f>
        <v>0</v>
      </c>
      <c r="D131" s="106">
        <f>'19'!$I$24</f>
        <v>0</v>
      </c>
      <c r="E131" s="197">
        <f>'19'!$I$39</f>
        <v>0</v>
      </c>
      <c r="F131" s="210"/>
      <c r="G131" s="194" t="s">
        <v>75</v>
      </c>
      <c r="H131" s="106" t="str">
        <f>'20'!$I$2</f>
        <v>low</v>
      </c>
      <c r="I131" s="106">
        <f>'20'!$I$8</f>
        <v>0</v>
      </c>
      <c r="J131" s="106">
        <f>'20'!$I$24</f>
        <v>0</v>
      </c>
      <c r="K131" s="197">
        <f>'20'!$I$39</f>
        <v>0</v>
      </c>
      <c r="L131" s="187"/>
    </row>
    <row r="132" spans="1:12" ht="22.9" customHeight="1">
      <c r="A132" s="194" t="s">
        <v>23</v>
      </c>
      <c r="B132" s="107">
        <f>'19'!$J$2</f>
        <v>0</v>
      </c>
      <c r="C132" s="107">
        <f>'19'!$J$8</f>
        <v>0</v>
      </c>
      <c r="D132" s="107">
        <f>'19'!$J$24</f>
        <v>0</v>
      </c>
      <c r="E132" s="198">
        <f>'19'!$J$39</f>
        <v>0</v>
      </c>
      <c r="F132" s="210"/>
      <c r="G132" s="194" t="s">
        <v>23</v>
      </c>
      <c r="H132" s="107">
        <f>'20'!$J$2</f>
        <v>0</v>
      </c>
      <c r="I132" s="107">
        <f>'20'!$J$8</f>
        <v>0</v>
      </c>
      <c r="J132" s="107">
        <f>'20'!$J$24</f>
        <v>0</v>
      </c>
      <c r="K132" s="198">
        <f>'20'!$J$39</f>
        <v>0</v>
      </c>
      <c r="L132" s="187"/>
    </row>
    <row r="133" spans="1:12" ht="22.9" customHeight="1">
      <c r="A133" s="194" t="s">
        <v>5</v>
      </c>
      <c r="B133" s="199">
        <f>'19'!$K$2</f>
        <v>0</v>
      </c>
      <c r="C133" s="108"/>
      <c r="D133" s="108"/>
      <c r="E133" s="109"/>
      <c r="F133" s="210"/>
      <c r="G133" s="194" t="s">
        <v>5</v>
      </c>
      <c r="H133" s="199">
        <f>'20'!$K$2</f>
        <v>0</v>
      </c>
      <c r="I133" s="108"/>
      <c r="J133" s="108"/>
      <c r="K133" s="109"/>
      <c r="L133" s="187"/>
    </row>
    <row r="134" spans="1:12" ht="22.9" customHeight="1">
      <c r="A134" s="194" t="s">
        <v>4</v>
      </c>
      <c r="B134" s="200">
        <f>'19'!$L$2</f>
        <v>0</v>
      </c>
      <c r="C134" s="110"/>
      <c r="D134" s="110"/>
      <c r="E134" s="111"/>
      <c r="F134" s="210"/>
      <c r="G134" s="194" t="s">
        <v>4</v>
      </c>
      <c r="H134" s="200">
        <f>'20'!$L$2</f>
        <v>0</v>
      </c>
      <c r="I134" s="110"/>
      <c r="J134" s="110"/>
      <c r="K134" s="111"/>
      <c r="L134" s="187"/>
    </row>
    <row r="135" spans="1:12" ht="22.9" customHeight="1" thickBot="1">
      <c r="A135" s="201" t="s">
        <v>8</v>
      </c>
      <c r="B135" s="202">
        <f>'19'!$G$2</f>
        <v>0</v>
      </c>
      <c r="C135" s="112"/>
      <c r="D135" s="112"/>
      <c r="E135" s="113"/>
      <c r="F135" s="206"/>
      <c r="G135" s="201" t="s">
        <v>8</v>
      </c>
      <c r="H135" s="202">
        <f>'20'!$G$2</f>
        <v>0</v>
      </c>
      <c r="I135" s="112"/>
      <c r="J135" s="112"/>
      <c r="K135" s="113"/>
      <c r="L135" s="187"/>
    </row>
    <row r="136" spans="1:12" ht="22.9" customHeight="1" thickBot="1">
      <c r="A136" s="115" t="s">
        <v>122</v>
      </c>
      <c r="B136" s="116"/>
      <c r="C136" s="204" t="str">
        <f>('19'!C16&amp;" "&amp;'19'!B16)</f>
        <v xml:space="preserve"> </v>
      </c>
      <c r="D136" s="204" t="str">
        <f>('19'!C31&amp;" "&amp;'19'!B31)</f>
        <v xml:space="preserve"> </v>
      </c>
      <c r="E136" s="204" t="str">
        <f>('19'!C46&amp;" "&amp;'19'!B46)</f>
        <v xml:space="preserve"> </v>
      </c>
      <c r="F136" s="206"/>
      <c r="G136" s="115" t="s">
        <v>122</v>
      </c>
      <c r="H136" s="116"/>
      <c r="I136" s="204" t="str">
        <f>('20'!C16&amp;" "&amp;'20'!B16)</f>
        <v xml:space="preserve"> </v>
      </c>
      <c r="J136" s="204" t="str">
        <f>('20'!C31&amp;" "&amp;'20'!B31)</f>
        <v xml:space="preserve"> </v>
      </c>
      <c r="K136" s="204" t="str">
        <f>('20'!C46&amp;" "&amp;'20'!B46)</f>
        <v xml:space="preserve"> </v>
      </c>
      <c r="L136" s="187"/>
    </row>
    <row r="137" spans="1:12" ht="22.9" customHeight="1" thickBot="1">
      <c r="A137" s="117" t="s">
        <v>81</v>
      </c>
      <c r="B137" s="118"/>
      <c r="C137" s="204" t="str">
        <f>('19'!C17&amp;" "&amp;'19'!B17)</f>
        <v xml:space="preserve"> </v>
      </c>
      <c r="D137" s="204" t="str">
        <f>('19'!C32&amp;" "&amp;'19'!B32)</f>
        <v xml:space="preserve"> </v>
      </c>
      <c r="E137" s="204" t="str">
        <f>('19'!C47&amp;" "&amp;'19'!B47)</f>
        <v xml:space="preserve"> </v>
      </c>
      <c r="F137" s="206"/>
      <c r="G137" s="117" t="s">
        <v>81</v>
      </c>
      <c r="H137" s="118"/>
      <c r="I137" s="204" t="str">
        <f>('20'!C17&amp;" "&amp;'20'!B17)</f>
        <v xml:space="preserve"> </v>
      </c>
      <c r="J137" s="204" t="str">
        <f>('20'!C32&amp;" "&amp;'20'!B32)</f>
        <v xml:space="preserve"> </v>
      </c>
      <c r="K137" s="204" t="str">
        <f>('20'!C47&amp;" "&amp;'20'!B47)</f>
        <v xml:space="preserve"> </v>
      </c>
      <c r="L137" s="187"/>
    </row>
    <row r="138" spans="1:12" ht="22.9" customHeight="1" thickBot="1">
      <c r="A138" s="117" t="s">
        <v>83</v>
      </c>
      <c r="B138" s="118"/>
      <c r="C138" s="204" t="str">
        <f>('19'!C18&amp;" "&amp;'19'!B18)</f>
        <v xml:space="preserve"> </v>
      </c>
      <c r="D138" s="204" t="str">
        <f>('19'!C33&amp;" "&amp;'19'!B33)</f>
        <v xml:space="preserve"> </v>
      </c>
      <c r="E138" s="204" t="str">
        <f>('19'!C48&amp;" "&amp;'19'!B48)</f>
        <v xml:space="preserve"> </v>
      </c>
      <c r="F138" s="206"/>
      <c r="G138" s="117" t="s">
        <v>83</v>
      </c>
      <c r="H138" s="118"/>
      <c r="I138" s="204" t="str">
        <f>('20'!C18&amp;" "&amp;'20'!B18)</f>
        <v xml:space="preserve"> </v>
      </c>
      <c r="J138" s="204" t="str">
        <f>('20'!C33&amp;" "&amp;'20'!B33)</f>
        <v xml:space="preserve"> </v>
      </c>
      <c r="K138" s="204" t="str">
        <f>('20'!C48&amp;" "&amp;'20'!B48)</f>
        <v xml:space="preserve"> </v>
      </c>
      <c r="L138" s="187"/>
    </row>
    <row r="139" spans="1:12" ht="22.9" customHeight="1" thickBot="1">
      <c r="A139" s="119" t="s">
        <v>82</v>
      </c>
      <c r="B139" s="120"/>
      <c r="C139" s="204" t="str">
        <f>('19'!C19&amp;" "&amp;'19'!B19)</f>
        <v xml:space="preserve"> </v>
      </c>
      <c r="D139" s="204" t="str">
        <f>('19'!C34&amp;" "&amp;'19'!B34)</f>
        <v xml:space="preserve"> </v>
      </c>
      <c r="E139" s="204" t="str">
        <f>('19'!C49&amp;" "&amp;'19'!B49)</f>
        <v xml:space="preserve"> </v>
      </c>
      <c r="F139" s="206"/>
      <c r="G139" s="119" t="s">
        <v>82</v>
      </c>
      <c r="H139" s="120"/>
      <c r="I139" s="204" t="str">
        <f>('20'!C19&amp;" "&amp;'20'!B19)</f>
        <v xml:space="preserve"> </v>
      </c>
      <c r="J139" s="204" t="str">
        <f>('20'!C34&amp;" "&amp;'20'!B34)</f>
        <v xml:space="preserve"> </v>
      </c>
      <c r="K139" s="204" t="str">
        <f>('20'!C49&amp;" "&amp;'20'!B49)</f>
        <v xml:space="preserve"> </v>
      </c>
      <c r="L139" s="187"/>
    </row>
    <row r="140" spans="1:12" hidden="1">
      <c r="A140" s="187"/>
      <c r="B140" s="187"/>
      <c r="C140" s="187"/>
      <c r="D140" s="187"/>
      <c r="E140" s="187"/>
      <c r="F140" s="206"/>
      <c r="G140" s="187"/>
      <c r="H140" s="187"/>
      <c r="I140" s="187"/>
      <c r="J140" s="187"/>
      <c r="K140" s="187"/>
      <c r="L140" s="187"/>
    </row>
  </sheetData>
  <mergeCells count="20">
    <mergeCell ref="C59:E59"/>
    <mergeCell ref="I59:K59"/>
    <mergeCell ref="C129:E129"/>
    <mergeCell ref="I129:K129"/>
    <mergeCell ref="C87:E87"/>
    <mergeCell ref="I87:K87"/>
    <mergeCell ref="C101:E101"/>
    <mergeCell ref="I101:K101"/>
    <mergeCell ref="C115:E115"/>
    <mergeCell ref="I115:K115"/>
    <mergeCell ref="C73:E73"/>
    <mergeCell ref="I73:K73"/>
    <mergeCell ref="C45:E45"/>
    <mergeCell ref="I45:K45"/>
    <mergeCell ref="C3:E3"/>
    <mergeCell ref="I3:K3"/>
    <mergeCell ref="C17:E17"/>
    <mergeCell ref="I17:K17"/>
    <mergeCell ref="C31:E31"/>
    <mergeCell ref="I31:K31"/>
  </mergeCells>
  <phoneticPr fontId="13" type="noConversion"/>
  <conditionalFormatting sqref="D1">
    <cfRule type="cellIs" dxfId="56" priority="55" stopIfTrue="1" operator="equal">
      <formula>0</formula>
    </cfRule>
    <cfRule type="cellIs" dxfId="55" priority="56" stopIfTrue="1" operator="equal">
      <formula>0</formula>
    </cfRule>
    <cfRule type="cellIs" dxfId="54" priority="57" stopIfTrue="1" operator="equal">
      <formula>0</formula>
    </cfRule>
  </conditionalFormatting>
  <conditionalFormatting sqref="C2:E2">
    <cfRule type="cellIs" dxfId="53" priority="54" stopIfTrue="1" operator="equal">
      <formula>0</formula>
    </cfRule>
  </conditionalFormatting>
  <conditionalFormatting sqref="C2:E2 I2:K2 C16:E16 I16:K16 C30:E30 I30:K30 C44:E44 I44:K44 C58:E58 I58:K58 C86:E86 I86:K86 C100:E100 I100:K100 C114:E114 I114:K114 C128:E128 I128:K128">
    <cfRule type="cellIs" dxfId="52" priority="53" stopIfTrue="1" operator="equal">
      <formula>0</formula>
    </cfRule>
  </conditionalFormatting>
  <conditionalFormatting sqref="A1:E1 G1:K1 A15:E15 G15:K15 A29:E29 G29:K29 A43:E43 G43:K43 A57:E57 G57:K57 A71:E71 G71:K71 A85:E85 G85:K85 A99:E99 G99:K99 A113:E113 G113:K113 A127:E127 G127:K127">
    <cfRule type="cellIs" dxfId="51" priority="52" stopIfTrue="1" operator="equal">
      <formula>0</formula>
    </cfRule>
  </conditionalFormatting>
  <conditionalFormatting sqref="C4:E4 I4:K4 C18:E18 I18:K18 C32:E32 I32:K32 C46:E46 I46:K46 C60:E60 I60:K60 C74:E74 I74:K74 C88:E88 I88:K88 C102:E102 I102:K102 C116:E116 I116:K116 C130:E130 I130:K130">
    <cfRule type="cellIs" dxfId="50" priority="51" stopIfTrue="1" operator="equal">
      <formula>0</formula>
    </cfRule>
  </conditionalFormatting>
  <conditionalFormatting sqref="B5:E5">
    <cfRule type="cellIs" dxfId="49" priority="50" stopIfTrue="1" operator="equal">
      <formula>0</formula>
    </cfRule>
  </conditionalFormatting>
  <conditionalFormatting sqref="H5:K5 B19:E19 H19:K19 B33:E33 H33:K33 B47:E47 H47:K47 B61:E61 H61:K61 B75:E75 H75:K75 B89:E89 H89:K89 B103:E103 H103:K103 B117:E117 H117:K117 B131:E131 H131:K131">
    <cfRule type="cellIs" dxfId="48" priority="49" stopIfTrue="1" operator="equal">
      <formula>0</formula>
    </cfRule>
  </conditionalFormatting>
  <conditionalFormatting sqref="B6:E6 H6:K6 B20:E20 H20:K20 B34:E34 H34:K34 B48:E48 H48:K48 B62:E62 H62:K62 B90:E90 H90:K90 B104:E104 H104:K104 B118:E118 H118:K118 B132:E132 H132:K132">
    <cfRule type="cellIs" dxfId="47" priority="48" stopIfTrue="1" operator="equal">
      <formula>0</formula>
    </cfRule>
  </conditionalFormatting>
  <conditionalFormatting sqref="B76:E76 H76:K76">
    <cfRule type="cellIs" dxfId="46" priority="47" stopIfTrue="1" operator="equal">
      <formula>0</formula>
    </cfRule>
  </conditionalFormatting>
  <conditionalFormatting sqref="B7:E7 H7">
    <cfRule type="cellIs" dxfId="45" priority="46" stopIfTrue="1" operator="equal">
      <formula>0</formula>
    </cfRule>
  </conditionalFormatting>
  <conditionalFormatting sqref="H7:K7 B21:E21 H21:K21 B35:E35 H35:K35 B49:E49 H49:K49 B63:E63 H63:K63 B77:E77 H77:K77 B91:E91 H91:K91 B105:E105 H105:K105 B119:E119 H119:K119 B133:E133 H133:K133">
    <cfRule type="cellIs" dxfId="44" priority="45" stopIfTrue="1" operator="equal">
      <formula>0</formula>
    </cfRule>
  </conditionalFormatting>
  <conditionalFormatting sqref="B8:E8 H8:K8 B22:E22 H22:K22 B36:E36 H36:K36 B50:E50 H50:K50 B64:E64 H64:K64 B78:E78 H78:K78 B92:E92 H92:K92 B106:E106 H106:K106 B120:E120 H120:K120 B134:E134 H134:K134">
    <cfRule type="cellIs" dxfId="43" priority="44" stopIfTrue="1" operator="equal">
      <formula>0</formula>
    </cfRule>
  </conditionalFormatting>
  <conditionalFormatting sqref="B9:E9 H9:K9 B23:E23 H23:K23 B37:E37 H37:K37 B51:E51 H51:K51 B65:E65 H65:K65 B79:E79 H79:K79 B93:E93 H93:K93 B107:E107 H107:K107 B121:E121 H121:K121 B135:E135 H135:K135">
    <cfRule type="cellIs" dxfId="42" priority="43" stopIfTrue="1" operator="equal">
      <formula>0</formula>
    </cfRule>
  </conditionalFormatting>
  <conditionalFormatting sqref="C10:E13 I10:K13 C24:E27 I24:K27 C38:E41 I38:K41 C52:E55 I52:K55 C66:E69 I66:K69 C80:E83 I80:K83 C94:E97 I94:K97 C108:E111 I108:K111 C122:E125 I122:K125 C136:E139 I136:K139">
    <cfRule type="cellIs" dxfId="41" priority="42" stopIfTrue="1" operator="equal">
      <formula>0</formula>
    </cfRule>
  </conditionalFormatting>
  <conditionalFormatting sqref="C10:D13">
    <cfRule type="cellIs" dxfId="40" priority="41" stopIfTrue="1" operator="equal">
      <formula>"lbs"</formula>
    </cfRule>
  </conditionalFormatting>
  <conditionalFormatting sqref="E10:E13">
    <cfRule type="cellIs" dxfId="39" priority="40" stopIfTrue="1" operator="equal">
      <formula>"lbs"</formula>
    </cfRule>
  </conditionalFormatting>
  <conditionalFormatting sqref="I10:J13">
    <cfRule type="cellIs" dxfId="38" priority="39" stopIfTrue="1" operator="equal">
      <formula>"lbs"</formula>
    </cfRule>
  </conditionalFormatting>
  <conditionalFormatting sqref="K10:K13">
    <cfRule type="cellIs" dxfId="37" priority="38" stopIfTrue="1" operator="equal">
      <formula>"lbs"</formula>
    </cfRule>
  </conditionalFormatting>
  <conditionalFormatting sqref="C24:D27">
    <cfRule type="cellIs" dxfId="36" priority="37" stopIfTrue="1" operator="equal">
      <formula>"lbs"</formula>
    </cfRule>
  </conditionalFormatting>
  <conditionalFormatting sqref="E24:E27">
    <cfRule type="cellIs" dxfId="35" priority="36" stopIfTrue="1" operator="equal">
      <formula>"lbs"</formula>
    </cfRule>
  </conditionalFormatting>
  <conditionalFormatting sqref="I24:J27">
    <cfRule type="cellIs" dxfId="34" priority="35" stopIfTrue="1" operator="equal">
      <formula>"lbs"</formula>
    </cfRule>
  </conditionalFormatting>
  <conditionalFormatting sqref="K24:K27">
    <cfRule type="cellIs" dxfId="33" priority="34" stopIfTrue="1" operator="equal">
      <formula>"lbs"</formula>
    </cfRule>
  </conditionalFormatting>
  <conditionalFormatting sqref="C38:D41">
    <cfRule type="cellIs" dxfId="32" priority="33" stopIfTrue="1" operator="equal">
      <formula>"lbs"</formula>
    </cfRule>
  </conditionalFormatting>
  <conditionalFormatting sqref="E38:E41">
    <cfRule type="cellIs" dxfId="31" priority="32" stopIfTrue="1" operator="equal">
      <formula>"lbs"</formula>
    </cfRule>
  </conditionalFormatting>
  <conditionalFormatting sqref="I38:J41">
    <cfRule type="cellIs" dxfId="30" priority="31" stopIfTrue="1" operator="equal">
      <formula>"lbs"</formula>
    </cfRule>
  </conditionalFormatting>
  <conditionalFormatting sqref="K38:K41">
    <cfRule type="cellIs" dxfId="29" priority="30" stopIfTrue="1" operator="equal">
      <formula>"lbs"</formula>
    </cfRule>
  </conditionalFormatting>
  <conditionalFormatting sqref="C52:D55">
    <cfRule type="cellIs" dxfId="28" priority="29" stopIfTrue="1" operator="equal">
      <formula>"lbs"</formula>
    </cfRule>
  </conditionalFormatting>
  <conditionalFormatting sqref="E52:E55">
    <cfRule type="cellIs" dxfId="27" priority="28" stopIfTrue="1" operator="equal">
      <formula>"lbs"</formula>
    </cfRule>
  </conditionalFormatting>
  <conditionalFormatting sqref="I52:K55">
    <cfRule type="cellIs" dxfId="26" priority="27" stopIfTrue="1" operator="equal">
      <formula>"lbs"</formula>
    </cfRule>
  </conditionalFormatting>
  <conditionalFormatting sqref="K52:K55">
    <cfRule type="cellIs" dxfId="25" priority="26" stopIfTrue="1" operator="equal">
      <formula>"lbs"</formula>
    </cfRule>
  </conditionalFormatting>
  <conditionalFormatting sqref="C66:E69">
    <cfRule type="cellIs" dxfId="24" priority="25" stopIfTrue="1" operator="equal">
      <formula>"lbs"</formula>
    </cfRule>
  </conditionalFormatting>
  <conditionalFormatting sqref="E66:E69">
    <cfRule type="cellIs" dxfId="23" priority="24" stopIfTrue="1" operator="equal">
      <formula>"lbs"</formula>
    </cfRule>
  </conditionalFormatting>
  <conditionalFormatting sqref="I66:J69">
    <cfRule type="cellIs" dxfId="22" priority="23" stopIfTrue="1" operator="equal">
      <formula>"lbs"</formula>
    </cfRule>
  </conditionalFormatting>
  <conditionalFormatting sqref="K66:K69">
    <cfRule type="cellIs" dxfId="21" priority="22" stopIfTrue="1" operator="equal">
      <formula>"lbs"</formula>
    </cfRule>
  </conditionalFormatting>
  <conditionalFormatting sqref="C80:E83">
    <cfRule type="cellIs" dxfId="20" priority="21" stopIfTrue="1" operator="equal">
      <formula>"lbs"</formula>
    </cfRule>
  </conditionalFormatting>
  <conditionalFormatting sqref="E80:E83">
    <cfRule type="cellIs" dxfId="19" priority="20" stopIfTrue="1" operator="equal">
      <formula>"lbs"</formula>
    </cfRule>
  </conditionalFormatting>
  <conditionalFormatting sqref="I80:J83">
    <cfRule type="cellIs" dxfId="18" priority="19" stopIfTrue="1" operator="equal">
      <formula>"lbs"</formula>
    </cfRule>
  </conditionalFormatting>
  <conditionalFormatting sqref="K80:K83">
    <cfRule type="cellIs" dxfId="17" priority="18" stopIfTrue="1" operator="equal">
      <formula>"lbs"</formula>
    </cfRule>
  </conditionalFormatting>
  <conditionalFormatting sqref="C94:E97">
    <cfRule type="cellIs" dxfId="16" priority="17" stopIfTrue="1" operator="equal">
      <formula>"lbs"</formula>
    </cfRule>
  </conditionalFormatting>
  <conditionalFormatting sqref="E94:E97">
    <cfRule type="cellIs" dxfId="15" priority="16" stopIfTrue="1" operator="equal">
      <formula>"lbs"</formula>
    </cfRule>
  </conditionalFormatting>
  <conditionalFormatting sqref="I94:K97">
    <cfRule type="cellIs" dxfId="14" priority="15" stopIfTrue="1" operator="equal">
      <formula>"lbs"</formula>
    </cfRule>
  </conditionalFormatting>
  <conditionalFormatting sqref="K94:K97">
    <cfRule type="cellIs" dxfId="13" priority="14" stopIfTrue="1" operator="equal">
      <formula>"lbs"</formula>
    </cfRule>
  </conditionalFormatting>
  <conditionalFormatting sqref="C108:E111">
    <cfRule type="cellIs" dxfId="12" priority="13" stopIfTrue="1" operator="equal">
      <formula>"lbs"</formula>
    </cfRule>
  </conditionalFormatting>
  <conditionalFormatting sqref="E108:E111">
    <cfRule type="cellIs" dxfId="11" priority="12" stopIfTrue="1" operator="equal">
      <formula>"lbs"</formula>
    </cfRule>
  </conditionalFormatting>
  <conditionalFormatting sqref="I108:K111">
    <cfRule type="cellIs" dxfId="10" priority="11" stopIfTrue="1" operator="equal">
      <formula>"lbs"</formula>
    </cfRule>
  </conditionalFormatting>
  <conditionalFormatting sqref="K108:K111">
    <cfRule type="cellIs" dxfId="9" priority="10" stopIfTrue="1" operator="equal">
      <formula>"lbs"</formula>
    </cfRule>
  </conditionalFormatting>
  <conditionalFormatting sqref="C122:E125">
    <cfRule type="cellIs" dxfId="8" priority="9" stopIfTrue="1" operator="equal">
      <formula>"lbs"</formula>
    </cfRule>
  </conditionalFormatting>
  <conditionalFormatting sqref="E122:E125">
    <cfRule type="cellIs" dxfId="7" priority="8" stopIfTrue="1" operator="equal">
      <formula>"lbs"</formula>
    </cfRule>
  </conditionalFormatting>
  <conditionalFormatting sqref="I122:K125">
    <cfRule type="cellIs" dxfId="6" priority="7" stopIfTrue="1" operator="equal">
      <formula>"lbs"</formula>
    </cfRule>
  </conditionalFormatting>
  <conditionalFormatting sqref="K122:K125">
    <cfRule type="cellIs" dxfId="5" priority="6" stopIfTrue="1" operator="equal">
      <formula>"lbs"</formula>
    </cfRule>
  </conditionalFormatting>
  <conditionalFormatting sqref="C136:E139">
    <cfRule type="cellIs" dxfId="4" priority="5" stopIfTrue="1" operator="equal">
      <formula>"lbs"</formula>
    </cfRule>
  </conditionalFormatting>
  <conditionalFormatting sqref="E136:E139">
    <cfRule type="cellIs" dxfId="3" priority="4" stopIfTrue="1" operator="equal">
      <formula>"lbs"</formula>
    </cfRule>
  </conditionalFormatting>
  <conditionalFormatting sqref="I136:K139">
    <cfRule type="cellIs" dxfId="2" priority="3" stopIfTrue="1" operator="equal">
      <formula>"lbs"</formula>
    </cfRule>
  </conditionalFormatting>
  <conditionalFormatting sqref="K136:K139">
    <cfRule type="cellIs" dxfId="1" priority="2" stopIfTrue="1" operator="equal">
      <formula>"lbs"</formula>
    </cfRule>
  </conditionalFormatting>
  <conditionalFormatting sqref="C72:E72 I72:K72">
    <cfRule type="cellIs" dxfId="0" priority="1" stopIfTrue="1" operator="equal">
      <formula>0</formula>
    </cfRule>
  </conditionalFormatting>
  <pageMargins left="0.45" right="0.45" top="1" bottom="0.25" header="0.3" footer="0.05"/>
  <pageSetup scale="70" fitToHeight="4" orientation="portrait" r:id="rId1"/>
  <headerFooter>
    <oddHeader>&amp;L&amp;D&amp;CVegetable Nutrient Management Planning Workbook&amp;R&amp;G</oddHeader>
  </headerFooter>
  <rowBreaks count="3" manualBreakCount="3">
    <brk id="41" max="16383" man="1"/>
    <brk id="83" max="16383" man="1"/>
    <brk id="125" max="16383" man="1"/>
  </rowBreaks>
  <legacyDrawingHF r:id="rId2"/>
</worksheet>
</file>

<file path=xl/worksheets/sheet4.xml><?xml version="1.0" encoding="utf-8"?>
<worksheet xmlns="http://schemas.openxmlformats.org/spreadsheetml/2006/main" xmlns:r="http://schemas.openxmlformats.org/officeDocument/2006/relationships">
  <sheetPr codeName="Sheet2">
    <tabColor indexed="16"/>
    <pageSetUpPr fitToPage="1"/>
  </sheetPr>
  <dimension ref="A1:J58"/>
  <sheetViews>
    <sheetView showGridLines="0" showRowColHeaders="0" tabSelected="1" topLeftCell="A28" workbookViewId="0">
      <selection activeCell="A4" sqref="A4:D4"/>
    </sheetView>
  </sheetViews>
  <sheetFormatPr defaultColWidth="0" defaultRowHeight="0" customHeight="1" zeroHeight="1"/>
  <cols>
    <col min="1" max="4" width="12.140625" style="75" customWidth="1"/>
    <col min="5" max="8" width="12" style="75" customWidth="1"/>
    <col min="9" max="9" width="0.28515625" style="70" customWidth="1"/>
    <col min="10" max="16384" width="12" style="75" hidden="1"/>
  </cols>
  <sheetData>
    <row r="1" spans="1:8" ht="15" customHeight="1">
      <c r="A1" s="674" t="s">
        <v>169</v>
      </c>
      <c r="B1" s="675"/>
      <c r="C1" s="675"/>
      <c r="D1" s="675"/>
      <c r="E1" s="675"/>
      <c r="F1" s="675"/>
      <c r="G1" s="675"/>
      <c r="H1" s="676"/>
    </row>
    <row r="2" spans="1:8" ht="15" customHeight="1" thickBot="1">
      <c r="A2" s="677"/>
      <c r="B2" s="678"/>
      <c r="C2" s="678"/>
      <c r="D2" s="678"/>
      <c r="E2" s="678"/>
      <c r="F2" s="678"/>
      <c r="G2" s="678"/>
      <c r="H2" s="679"/>
    </row>
    <row r="3" spans="1:8" ht="15" customHeight="1">
      <c r="A3" s="680" t="s">
        <v>170</v>
      </c>
      <c r="B3" s="681"/>
      <c r="C3" s="681"/>
      <c r="D3" s="681"/>
      <c r="E3" s="682" t="s">
        <v>171</v>
      </c>
      <c r="F3" s="683"/>
      <c r="G3" s="682" t="s">
        <v>172</v>
      </c>
      <c r="H3" s="684"/>
    </row>
    <row r="4" spans="1:8" ht="15" customHeight="1">
      <c r="A4" s="667"/>
      <c r="B4" s="668"/>
      <c r="C4" s="668"/>
      <c r="D4" s="669"/>
      <c r="E4" s="670"/>
      <c r="F4" s="671"/>
      <c r="G4" s="672"/>
      <c r="H4" s="673"/>
    </row>
    <row r="5" spans="1:8" ht="15" customHeight="1">
      <c r="A5" s="576" t="s">
        <v>173</v>
      </c>
      <c r="B5" s="574"/>
      <c r="C5" s="574"/>
      <c r="D5" s="574"/>
      <c r="E5" s="574" t="s">
        <v>174</v>
      </c>
      <c r="F5" s="574"/>
      <c r="G5" s="574"/>
      <c r="H5" s="575"/>
    </row>
    <row r="6" spans="1:8" ht="15" customHeight="1" thickBot="1">
      <c r="A6" s="685"/>
      <c r="B6" s="644"/>
      <c r="C6" s="644"/>
      <c r="D6" s="644"/>
      <c r="E6" s="644"/>
      <c r="F6" s="644"/>
      <c r="G6" s="644"/>
      <c r="H6" s="645"/>
    </row>
    <row r="7" spans="1:8" ht="15" customHeight="1">
      <c r="A7" s="663" t="s">
        <v>175</v>
      </c>
      <c r="B7" s="664"/>
      <c r="C7" s="664"/>
      <c r="D7" s="664"/>
      <c r="E7" s="72" t="s">
        <v>176</v>
      </c>
      <c r="F7" s="665"/>
      <c r="G7" s="665"/>
      <c r="H7" s="666"/>
    </row>
    <row r="8" spans="1:8" ht="15" customHeight="1">
      <c r="A8" s="657"/>
      <c r="B8" s="658"/>
      <c r="C8" s="658"/>
      <c r="D8" s="658"/>
      <c r="E8" s="73" t="s">
        <v>177</v>
      </c>
      <c r="F8" s="659"/>
      <c r="G8" s="659"/>
      <c r="H8" s="660"/>
    </row>
    <row r="9" spans="1:8" ht="15" customHeight="1">
      <c r="A9" s="661"/>
      <c r="B9" s="662"/>
      <c r="C9" s="662"/>
      <c r="D9" s="662"/>
      <c r="E9" s="73" t="s">
        <v>178</v>
      </c>
      <c r="F9" s="659"/>
      <c r="G9" s="659"/>
      <c r="H9" s="660"/>
    </row>
    <row r="10" spans="1:8" ht="15" customHeight="1" thickBot="1">
      <c r="A10" s="642"/>
      <c r="B10" s="643"/>
      <c r="C10" s="643"/>
      <c r="D10" s="643"/>
      <c r="E10" s="74" t="s">
        <v>179</v>
      </c>
      <c r="F10" s="644"/>
      <c r="G10" s="644"/>
      <c r="H10" s="645"/>
    </row>
    <row r="11" spans="1:8" ht="15" customHeight="1">
      <c r="A11" s="646" t="s">
        <v>180</v>
      </c>
      <c r="B11" s="647"/>
      <c r="C11" s="647"/>
      <c r="D11" s="647"/>
      <c r="E11" s="647"/>
      <c r="F11" s="647"/>
      <c r="G11" s="647"/>
      <c r="H11" s="648"/>
    </row>
    <row r="12" spans="1:8" ht="15" customHeight="1">
      <c r="A12" s="607"/>
      <c r="B12" s="649"/>
      <c r="C12" s="649"/>
      <c r="D12" s="649"/>
      <c r="E12" s="649"/>
      <c r="F12" s="649"/>
      <c r="G12" s="649"/>
      <c r="H12" s="650"/>
    </row>
    <row r="13" spans="1:8" ht="15" customHeight="1">
      <c r="A13" s="651"/>
      <c r="B13" s="652"/>
      <c r="C13" s="652"/>
      <c r="D13" s="652"/>
      <c r="E13" s="652"/>
      <c r="F13" s="652"/>
      <c r="G13" s="652"/>
      <c r="H13" s="653"/>
    </row>
    <row r="14" spans="1:8" ht="15" customHeight="1">
      <c r="A14" s="651"/>
      <c r="B14" s="652"/>
      <c r="C14" s="652"/>
      <c r="D14" s="652"/>
      <c r="E14" s="652"/>
      <c r="F14" s="652"/>
      <c r="G14" s="652"/>
      <c r="H14" s="653"/>
    </row>
    <row r="15" spans="1:8" ht="15" customHeight="1" thickBot="1">
      <c r="A15" s="654"/>
      <c r="B15" s="655"/>
      <c r="C15" s="655"/>
      <c r="D15" s="655"/>
      <c r="E15" s="655"/>
      <c r="F15" s="655"/>
      <c r="G15" s="655"/>
      <c r="H15" s="656"/>
    </row>
    <row r="16" spans="1:8" ht="15" customHeight="1">
      <c r="A16" s="639" t="s">
        <v>181</v>
      </c>
      <c r="B16" s="640"/>
      <c r="C16" s="640"/>
      <c r="D16" s="641"/>
      <c r="E16" s="639" t="s">
        <v>181</v>
      </c>
      <c r="F16" s="640"/>
      <c r="G16" s="640"/>
      <c r="H16" s="641"/>
    </row>
    <row r="17" spans="1:8" ht="15" customHeight="1">
      <c r="A17" s="636" t="s">
        <v>182</v>
      </c>
      <c r="B17" s="580"/>
      <c r="C17" s="637"/>
      <c r="D17" s="638"/>
      <c r="E17" s="636" t="s">
        <v>183</v>
      </c>
      <c r="F17" s="580"/>
      <c r="G17" s="637"/>
      <c r="H17" s="638"/>
    </row>
    <row r="18" spans="1:8" ht="15" customHeight="1">
      <c r="A18" s="636" t="s">
        <v>184</v>
      </c>
      <c r="B18" s="580"/>
      <c r="C18" s="637"/>
      <c r="D18" s="638"/>
      <c r="E18" s="636" t="s">
        <v>184</v>
      </c>
      <c r="F18" s="580"/>
      <c r="G18" s="637"/>
      <c r="H18" s="638"/>
    </row>
    <row r="19" spans="1:8" ht="15" customHeight="1">
      <c r="A19" s="636" t="s">
        <v>185</v>
      </c>
      <c r="B19" s="580"/>
      <c r="C19" s="637"/>
      <c r="D19" s="638"/>
      <c r="E19" s="636" t="s">
        <v>185</v>
      </c>
      <c r="F19" s="580"/>
      <c r="G19" s="637"/>
      <c r="H19" s="638"/>
    </row>
    <row r="20" spans="1:8" ht="15" customHeight="1">
      <c r="A20" s="636" t="s">
        <v>186</v>
      </c>
      <c r="B20" s="580"/>
      <c r="C20" s="637"/>
      <c r="D20" s="638"/>
      <c r="E20" s="636" t="s">
        <v>186</v>
      </c>
      <c r="F20" s="580"/>
      <c r="G20" s="637"/>
      <c r="H20" s="638"/>
    </row>
    <row r="21" spans="1:8" ht="15" customHeight="1" thickBot="1">
      <c r="A21" s="632" t="s">
        <v>187</v>
      </c>
      <c r="B21" s="633"/>
      <c r="C21" s="634"/>
      <c r="D21" s="635"/>
      <c r="E21" s="632" t="s">
        <v>187</v>
      </c>
      <c r="F21" s="633"/>
      <c r="G21" s="634"/>
      <c r="H21" s="635"/>
    </row>
    <row r="22" spans="1:8" ht="15" customHeight="1">
      <c r="A22" s="619" t="s">
        <v>188</v>
      </c>
      <c r="B22" s="620"/>
      <c r="C22" s="620"/>
      <c r="D22" s="620"/>
      <c r="E22" s="620"/>
      <c r="F22" s="620"/>
      <c r="G22" s="620"/>
      <c r="H22" s="621"/>
    </row>
    <row r="23" spans="1:8" s="623" customFormat="1" ht="15" customHeight="1">
      <c r="A23" s="622"/>
    </row>
    <row r="24" spans="1:8" s="623" customFormat="1" ht="15" customHeight="1">
      <c r="A24" s="624"/>
    </row>
    <row r="25" spans="1:8" s="623" customFormat="1" ht="15" customHeight="1">
      <c r="A25" s="624"/>
    </row>
    <row r="26" spans="1:8" s="623" customFormat="1" ht="15" customHeight="1">
      <c r="A26" s="624"/>
    </row>
    <row r="27" spans="1:8" s="623" customFormat="1" ht="15" customHeight="1">
      <c r="A27" s="624"/>
    </row>
    <row r="28" spans="1:8" s="623" customFormat="1" ht="15" customHeight="1">
      <c r="A28" s="624"/>
    </row>
    <row r="29" spans="1:8" ht="15" customHeight="1">
      <c r="A29" s="625" t="s">
        <v>189</v>
      </c>
      <c r="B29" s="626"/>
      <c r="C29" s="626"/>
      <c r="D29" s="626"/>
      <c r="E29" s="626"/>
      <c r="F29" s="626"/>
      <c r="G29" s="626"/>
      <c r="H29" s="627"/>
    </row>
    <row r="30" spans="1:8" ht="15" customHeight="1">
      <c r="A30" s="628"/>
      <c r="B30" s="629"/>
      <c r="C30" s="629"/>
      <c r="D30" s="629"/>
      <c r="E30" s="629"/>
      <c r="F30" s="629"/>
      <c r="G30" s="629"/>
      <c r="H30" s="630"/>
    </row>
    <row r="31" spans="1:8" ht="15" customHeight="1">
      <c r="A31" s="631"/>
      <c r="B31" s="608"/>
      <c r="C31" s="608"/>
      <c r="D31" s="608"/>
      <c r="E31" s="608"/>
      <c r="F31" s="608"/>
      <c r="G31" s="608"/>
      <c r="H31" s="609"/>
    </row>
    <row r="32" spans="1:8" ht="15" customHeight="1">
      <c r="A32" s="610"/>
      <c r="B32" s="611"/>
      <c r="C32" s="611"/>
      <c r="D32" s="611"/>
      <c r="E32" s="611"/>
      <c r="F32" s="611"/>
      <c r="G32" s="611"/>
      <c r="H32" s="612"/>
    </row>
    <row r="33" spans="1:9" ht="15" customHeight="1">
      <c r="A33" s="610"/>
      <c r="B33" s="611"/>
      <c r="C33" s="611"/>
      <c r="D33" s="611"/>
      <c r="E33" s="611"/>
      <c r="F33" s="611"/>
      <c r="G33" s="611"/>
      <c r="H33" s="612"/>
    </row>
    <row r="34" spans="1:9" ht="15" customHeight="1">
      <c r="A34" s="610"/>
      <c r="B34" s="611"/>
      <c r="C34" s="611"/>
      <c r="D34" s="611"/>
      <c r="E34" s="611"/>
      <c r="F34" s="611"/>
      <c r="G34" s="611"/>
      <c r="H34" s="612"/>
    </row>
    <row r="35" spans="1:9" ht="15" customHeight="1">
      <c r="A35" s="605" t="s">
        <v>190</v>
      </c>
      <c r="B35" s="606"/>
      <c r="C35" s="606"/>
      <c r="D35" s="606"/>
      <c r="E35" s="606"/>
      <c r="F35" s="606"/>
      <c r="G35" s="606"/>
      <c r="H35" s="606"/>
      <c r="I35" s="606"/>
    </row>
    <row r="36" spans="1:9" ht="15" customHeight="1">
      <c r="A36" s="607"/>
      <c r="B36" s="608"/>
      <c r="C36" s="608"/>
      <c r="D36" s="608"/>
      <c r="E36" s="608"/>
      <c r="F36" s="608"/>
      <c r="G36" s="608"/>
      <c r="H36" s="609"/>
    </row>
    <row r="37" spans="1:9" ht="15" customHeight="1">
      <c r="A37" s="610"/>
      <c r="B37" s="611"/>
      <c r="C37" s="611"/>
      <c r="D37" s="611"/>
      <c r="E37" s="611"/>
      <c r="F37" s="611"/>
      <c r="G37" s="611"/>
      <c r="H37" s="612"/>
    </row>
    <row r="38" spans="1:9" ht="15" customHeight="1">
      <c r="A38" s="610"/>
      <c r="B38" s="611"/>
      <c r="C38" s="611"/>
      <c r="D38" s="611"/>
      <c r="E38" s="611"/>
      <c r="F38" s="611"/>
      <c r="G38" s="611"/>
      <c r="H38" s="612"/>
    </row>
    <row r="39" spans="1:9" ht="15" customHeight="1" thickBot="1">
      <c r="A39" s="613"/>
      <c r="B39" s="614"/>
      <c r="C39" s="614"/>
      <c r="D39" s="614"/>
      <c r="E39" s="614"/>
      <c r="F39" s="614"/>
      <c r="G39" s="614"/>
      <c r="H39" s="615"/>
    </row>
    <row r="40" spans="1:9" ht="15" customHeight="1">
      <c r="A40" s="616" t="s">
        <v>191</v>
      </c>
      <c r="B40" s="616"/>
      <c r="C40" s="616"/>
      <c r="D40" s="616"/>
      <c r="E40" s="617"/>
      <c r="F40" s="616"/>
      <c r="G40" s="616"/>
      <c r="H40" s="618"/>
    </row>
    <row r="41" spans="1:9" ht="15" customHeight="1">
      <c r="A41" s="601" t="s">
        <v>212</v>
      </c>
      <c r="B41" s="602"/>
      <c r="C41" s="603"/>
      <c r="D41" s="604"/>
      <c r="E41" s="593" t="s">
        <v>192</v>
      </c>
      <c r="F41" s="594"/>
      <c r="G41" s="594"/>
      <c r="H41" s="595"/>
    </row>
    <row r="42" spans="1:9" ht="15" customHeight="1">
      <c r="A42" s="589" t="s">
        <v>193</v>
      </c>
      <c r="B42" s="596"/>
      <c r="C42" s="597"/>
      <c r="D42" s="598"/>
      <c r="E42" s="77"/>
      <c r="F42" s="78"/>
      <c r="G42" s="78"/>
      <c r="H42" s="79"/>
    </row>
    <row r="43" spans="1:9" ht="15" customHeight="1">
      <c r="A43" s="579" t="s">
        <v>195</v>
      </c>
      <c r="B43" s="580"/>
      <c r="C43" s="581"/>
      <c r="D43" s="582"/>
      <c r="E43" s="80"/>
      <c r="F43" s="81"/>
      <c r="G43" s="81"/>
      <c r="H43" s="82"/>
    </row>
    <row r="44" spans="1:9" ht="15" customHeight="1">
      <c r="A44" s="579" t="s">
        <v>196</v>
      </c>
      <c r="B44" s="580"/>
      <c r="C44" s="581"/>
      <c r="D44" s="582"/>
      <c r="E44" s="83"/>
      <c r="F44" s="84"/>
      <c r="G44" s="84"/>
      <c r="H44" s="85"/>
    </row>
    <row r="45" spans="1:9" ht="15" customHeight="1">
      <c r="A45" s="599" t="s">
        <v>198</v>
      </c>
      <c r="B45" s="600"/>
      <c r="C45" s="581"/>
      <c r="D45" s="582"/>
      <c r="E45" s="83"/>
      <c r="F45" s="84"/>
      <c r="G45" s="84"/>
      <c r="H45" s="85"/>
    </row>
    <row r="46" spans="1:9" ht="15" customHeight="1">
      <c r="A46" s="579" t="s">
        <v>198</v>
      </c>
      <c r="B46" s="580"/>
      <c r="C46" s="581"/>
      <c r="D46" s="582"/>
      <c r="E46" s="86"/>
      <c r="F46" s="87"/>
      <c r="G46" s="87"/>
      <c r="H46" s="88"/>
    </row>
    <row r="47" spans="1:9" ht="15" customHeight="1">
      <c r="A47" s="76" t="s">
        <v>198</v>
      </c>
      <c r="B47" s="89"/>
      <c r="C47" s="90"/>
      <c r="D47" s="91"/>
      <c r="E47" s="86"/>
      <c r="F47" s="87"/>
      <c r="G47" s="87"/>
      <c r="H47" s="87"/>
    </row>
    <row r="48" spans="1:9" ht="15" customHeight="1" thickBot="1">
      <c r="A48" s="583" t="s">
        <v>199</v>
      </c>
      <c r="B48" s="584"/>
      <c r="C48" s="584"/>
      <c r="D48" s="584"/>
      <c r="E48" s="584"/>
      <c r="F48" s="584"/>
      <c r="G48" s="584"/>
      <c r="H48" s="585"/>
    </row>
    <row r="49" spans="1:10" ht="15" customHeight="1" thickBot="1">
      <c r="A49" s="586" t="s">
        <v>200</v>
      </c>
      <c r="B49" s="587"/>
      <c r="C49" s="587"/>
      <c r="D49" s="588"/>
      <c r="E49" s="589" t="s">
        <v>201</v>
      </c>
      <c r="F49" s="590"/>
      <c r="G49" s="591"/>
      <c r="H49" s="592"/>
      <c r="J49" s="75" t="s">
        <v>202</v>
      </c>
    </row>
    <row r="50" spans="1:10" ht="15" customHeight="1">
      <c r="A50" s="570" t="s">
        <v>203</v>
      </c>
      <c r="B50" s="571"/>
      <c r="C50" s="572"/>
      <c r="D50" s="573"/>
      <c r="E50" s="574" t="s">
        <v>204</v>
      </c>
      <c r="F50" s="574"/>
      <c r="G50" s="574"/>
      <c r="H50" s="575"/>
      <c r="J50" s="75" t="s">
        <v>205</v>
      </c>
    </row>
    <row r="51" spans="1:10" ht="15" customHeight="1">
      <c r="A51" s="576" t="s">
        <v>206</v>
      </c>
      <c r="B51" s="574"/>
      <c r="C51" s="577"/>
      <c r="D51" s="578"/>
      <c r="E51" s="71" t="s">
        <v>207</v>
      </c>
      <c r="F51" s="92"/>
      <c r="G51" s="71" t="s">
        <v>208</v>
      </c>
      <c r="H51" s="93"/>
    </row>
    <row r="52" spans="1:10" ht="15" customHeight="1">
      <c r="A52" s="576" t="s">
        <v>209</v>
      </c>
      <c r="B52" s="574"/>
      <c r="C52" s="577"/>
      <c r="D52" s="578"/>
      <c r="E52" s="574" t="s">
        <v>210</v>
      </c>
      <c r="F52" s="574"/>
      <c r="G52" s="574"/>
      <c r="H52" s="575"/>
      <c r="J52" s="75" t="s">
        <v>197</v>
      </c>
    </row>
    <row r="53" spans="1:10" ht="15" customHeight="1" thickBot="1">
      <c r="A53" s="566" t="s">
        <v>211</v>
      </c>
      <c r="B53" s="567"/>
      <c r="C53" s="568"/>
      <c r="D53" s="569"/>
      <c r="E53" s="568"/>
      <c r="F53" s="568"/>
      <c r="G53" s="568"/>
      <c r="H53" s="569"/>
      <c r="J53" s="75" t="s">
        <v>194</v>
      </c>
    </row>
    <row r="54" spans="1:10" ht="15" customHeight="1">
      <c r="E54" s="70"/>
      <c r="F54" s="70"/>
      <c r="G54" s="94"/>
      <c r="H54" s="70"/>
    </row>
    <row r="55" spans="1:10" ht="15" customHeight="1">
      <c r="E55" s="70"/>
      <c r="F55" s="70"/>
      <c r="G55" s="94"/>
      <c r="H55" s="70"/>
    </row>
    <row r="56" spans="1:10" ht="15" hidden="1" customHeight="1">
      <c r="E56" s="70"/>
      <c r="F56" s="70"/>
      <c r="G56" s="94"/>
      <c r="H56" s="70"/>
    </row>
    <row r="57" spans="1:10" ht="15" hidden="1" customHeight="1">
      <c r="E57" s="70"/>
      <c r="F57" s="70"/>
      <c r="G57" s="94"/>
      <c r="H57" s="70"/>
    </row>
    <row r="58" spans="1:10" ht="15" hidden="1" customHeight="1"/>
  </sheetData>
  <sheetProtection selectLockedCells="1"/>
  <mergeCells count="78">
    <mergeCell ref="A1:H2"/>
    <mergeCell ref="A3:D3"/>
    <mergeCell ref="E3:F3"/>
    <mergeCell ref="G3:H3"/>
    <mergeCell ref="A6:D6"/>
    <mergeCell ref="E6:H6"/>
    <mergeCell ref="A7:D7"/>
    <mergeCell ref="F7:H7"/>
    <mergeCell ref="A4:D4"/>
    <mergeCell ref="E4:F4"/>
    <mergeCell ref="G4:H4"/>
    <mergeCell ref="A5:D5"/>
    <mergeCell ref="E5:H5"/>
    <mergeCell ref="A10:D10"/>
    <mergeCell ref="F10:H10"/>
    <mergeCell ref="A11:H11"/>
    <mergeCell ref="A12:H15"/>
    <mergeCell ref="A8:D8"/>
    <mergeCell ref="F8:H8"/>
    <mergeCell ref="A9:D9"/>
    <mergeCell ref="F9:H9"/>
    <mergeCell ref="A16:D16"/>
    <mergeCell ref="E16:H16"/>
    <mergeCell ref="A17:B17"/>
    <mergeCell ref="C17:D17"/>
    <mergeCell ref="E17:F17"/>
    <mergeCell ref="G17:H17"/>
    <mergeCell ref="A19:B19"/>
    <mergeCell ref="C19:D19"/>
    <mergeCell ref="E19:F19"/>
    <mergeCell ref="G19:H19"/>
    <mergeCell ref="A18:B18"/>
    <mergeCell ref="C18:D18"/>
    <mergeCell ref="E18:F18"/>
    <mergeCell ref="G18:H18"/>
    <mergeCell ref="A21:B21"/>
    <mergeCell ref="C21:D21"/>
    <mergeCell ref="E21:F21"/>
    <mergeCell ref="G21:H21"/>
    <mergeCell ref="A20:B20"/>
    <mergeCell ref="C20:D20"/>
    <mergeCell ref="E20:F20"/>
    <mergeCell ref="G20:H20"/>
    <mergeCell ref="A35:I35"/>
    <mergeCell ref="A36:H39"/>
    <mergeCell ref="A40:D40"/>
    <mergeCell ref="E40:H40"/>
    <mergeCell ref="A22:H22"/>
    <mergeCell ref="A23:XFD28"/>
    <mergeCell ref="A29:H30"/>
    <mergeCell ref="A31:H34"/>
    <mergeCell ref="E41:H41"/>
    <mergeCell ref="A42:B42"/>
    <mergeCell ref="C42:D42"/>
    <mergeCell ref="A45:B45"/>
    <mergeCell ref="C45:D45"/>
    <mergeCell ref="A43:B43"/>
    <mergeCell ref="C43:D43"/>
    <mergeCell ref="A44:B44"/>
    <mergeCell ref="C44:D44"/>
    <mergeCell ref="A41:D41"/>
    <mergeCell ref="A46:B46"/>
    <mergeCell ref="C46:D46"/>
    <mergeCell ref="A48:H48"/>
    <mergeCell ref="A49:D49"/>
    <mergeCell ref="E49:F49"/>
    <mergeCell ref="G49:H49"/>
    <mergeCell ref="A53:B53"/>
    <mergeCell ref="C53:D53"/>
    <mergeCell ref="E53:H53"/>
    <mergeCell ref="A50:B50"/>
    <mergeCell ref="C50:D50"/>
    <mergeCell ref="E50:H50"/>
    <mergeCell ref="A51:B51"/>
    <mergeCell ref="C51:D51"/>
    <mergeCell ref="A52:B52"/>
    <mergeCell ref="C52:D52"/>
    <mergeCell ref="E52:H52"/>
  </mergeCells>
  <phoneticPr fontId="13" type="noConversion"/>
  <dataValidations count="2">
    <dataValidation type="list" allowBlank="1" showInputMessage="1" showErrorMessage="1" sqref="G49:H49">
      <formula1>"Spring/Summer, Fall, Spring/Summer/Fall"</formula1>
    </dataValidation>
    <dataValidation type="list" allowBlank="1" showInputMessage="1" showErrorMessage="1" sqref="C52:D52 C42:D45">
      <formula1>$J$52:$J$53</formula1>
    </dataValidation>
  </dataValidations>
  <printOptions horizontalCentered="1" verticalCentered="1"/>
  <pageMargins left="0.52" right="0.5" top="1" bottom="0.18" header="0.25" footer="0.5"/>
  <pageSetup scale="90" orientation="portrait" horizontalDpi="300" verticalDpi="300" r:id="rId1"/>
  <headerFooter alignWithMargins="0">
    <oddHeader>&amp;L&amp;D&amp;CVegetable Nutrient Management Planning Workbook&amp;R&amp;G</oddHeader>
  </headerFooter>
  <legacyDrawingHF r:id="rId2"/>
</worksheet>
</file>

<file path=xl/worksheets/sheet5.xml><?xml version="1.0" encoding="utf-8"?>
<worksheet xmlns="http://schemas.openxmlformats.org/spreadsheetml/2006/main" xmlns:r="http://schemas.openxmlformats.org/officeDocument/2006/relationships">
  <sheetPr codeName="Sheet3">
    <tabColor rgb="FF92D050"/>
  </sheetPr>
  <dimension ref="A1:W30"/>
  <sheetViews>
    <sheetView showGridLines="0" showRowColHeaders="0" workbookViewId="0">
      <pane xSplit="2" ySplit="3" topLeftCell="C4" activePane="bottomRight" state="frozen"/>
      <selection pane="topRight" activeCell="C1" sqref="C1"/>
      <selection pane="bottomLeft" activeCell="A4" sqref="A4"/>
      <selection pane="bottomRight" activeCell="J4" sqref="J4"/>
    </sheetView>
  </sheetViews>
  <sheetFormatPr defaultColWidth="0" defaultRowHeight="15" zeroHeight="1"/>
  <cols>
    <col min="1" max="1" width="16.42578125" customWidth="1"/>
    <col min="2" max="3" width="9.140625" customWidth="1"/>
    <col min="4" max="4" width="10.5703125" customWidth="1"/>
    <col min="5" max="5" width="9.140625" customWidth="1"/>
    <col min="6" max="6" width="10.140625" customWidth="1"/>
    <col min="7" max="7" width="9.42578125" customWidth="1"/>
    <col min="8" max="8" width="9.28515625" customWidth="1"/>
    <col min="9" max="15" width="9.140625" customWidth="1"/>
    <col min="16" max="18" width="0" hidden="1" customWidth="1"/>
    <col min="19" max="19" width="9.140625" customWidth="1"/>
  </cols>
  <sheetData>
    <row r="1" spans="1:23">
      <c r="A1" s="5"/>
      <c r="B1" s="5"/>
      <c r="C1" s="5"/>
      <c r="D1" s="5" t="s">
        <v>213</v>
      </c>
      <c r="E1" s="5"/>
      <c r="F1" s="5"/>
      <c r="G1" s="5"/>
      <c r="H1" s="5"/>
      <c r="I1" s="5"/>
      <c r="J1" s="5"/>
      <c r="K1" s="95"/>
      <c r="L1" s="95"/>
      <c r="M1" s="95"/>
      <c r="N1" s="95"/>
      <c r="O1" s="95"/>
      <c r="P1" s="95"/>
      <c r="Q1" s="95"/>
      <c r="R1" s="95"/>
      <c r="S1" s="95"/>
    </row>
    <row r="2" spans="1:23">
      <c r="A2" s="5"/>
      <c r="B2" s="5"/>
      <c r="C2" s="5"/>
      <c r="D2" s="5"/>
      <c r="E2" s="5"/>
      <c r="F2" s="5"/>
      <c r="G2" s="5"/>
      <c r="H2" s="5"/>
      <c r="I2" s="5"/>
      <c r="J2" s="5"/>
      <c r="K2" s="95"/>
      <c r="L2" s="95"/>
      <c r="M2" s="95"/>
      <c r="N2" s="95"/>
      <c r="O2" s="95"/>
      <c r="P2" s="95"/>
      <c r="Q2" s="95"/>
      <c r="R2" s="95"/>
      <c r="S2" s="95"/>
    </row>
    <row r="3" spans="1:23" ht="57" customHeight="1" thickBot="1">
      <c r="A3" s="16" t="s">
        <v>770</v>
      </c>
      <c r="B3" s="16" t="s">
        <v>46</v>
      </c>
      <c r="C3" s="16" t="s">
        <v>47</v>
      </c>
      <c r="D3" s="16" t="s">
        <v>48</v>
      </c>
      <c r="E3" s="16" t="s">
        <v>49</v>
      </c>
      <c r="F3" s="16" t="s">
        <v>50</v>
      </c>
      <c r="G3" s="16" t="s">
        <v>51</v>
      </c>
      <c r="H3" s="16" t="s">
        <v>52</v>
      </c>
      <c r="I3" s="16" t="s">
        <v>53</v>
      </c>
      <c r="J3" s="16" t="s">
        <v>54</v>
      </c>
      <c r="K3" s="96" t="s">
        <v>55</v>
      </c>
      <c r="L3" s="377" t="s">
        <v>214</v>
      </c>
      <c r="M3" s="378" t="s">
        <v>215</v>
      </c>
      <c r="N3" s="378" t="s">
        <v>216</v>
      </c>
      <c r="O3" s="378" t="s">
        <v>217</v>
      </c>
      <c r="P3" s="97" t="s">
        <v>218</v>
      </c>
      <c r="Q3" s="98" t="s">
        <v>219</v>
      </c>
      <c r="R3" s="98" t="s">
        <v>220</v>
      </c>
      <c r="S3" s="98" t="s">
        <v>221</v>
      </c>
    </row>
    <row r="4" spans="1:23">
      <c r="A4" s="144"/>
      <c r="B4" s="145"/>
      <c r="C4" s="145"/>
      <c r="D4" s="145"/>
      <c r="E4" s="145"/>
      <c r="F4" s="145"/>
      <c r="G4" s="145"/>
      <c r="H4" s="176"/>
      <c r="I4" s="176"/>
      <c r="J4" s="176"/>
      <c r="K4" s="145"/>
      <c r="L4" s="380">
        <f>'VT P Index'!L584</f>
        <v>0</v>
      </c>
      <c r="M4" s="380" t="str">
        <f>'Soil Test Results'!C4</f>
        <v>low</v>
      </c>
      <c r="N4" s="380" t="str">
        <f>'VT P Index'!J584</f>
        <v/>
      </c>
      <c r="O4" s="379"/>
      <c r="P4" s="145"/>
      <c r="Q4" s="145"/>
      <c r="R4" s="145"/>
      <c r="S4" s="149"/>
      <c r="U4" t="s">
        <v>670</v>
      </c>
      <c r="V4" t="s">
        <v>56</v>
      </c>
      <c r="W4" t="s">
        <v>59</v>
      </c>
    </row>
    <row r="5" spans="1:23">
      <c r="A5" s="146"/>
      <c r="B5" s="132"/>
      <c r="C5" s="132"/>
      <c r="D5" s="132"/>
      <c r="E5" s="132"/>
      <c r="F5" s="132"/>
      <c r="G5" s="132"/>
      <c r="H5" s="174"/>
      <c r="I5" s="174"/>
      <c r="J5" s="174"/>
      <c r="K5" s="132"/>
      <c r="L5" s="380">
        <f>'VT P Index'!L585</f>
        <v>0</v>
      </c>
      <c r="M5" s="380" t="str">
        <f>'Soil Test Results'!C5</f>
        <v>low</v>
      </c>
      <c r="N5" s="380" t="str">
        <f>'VT P Index'!J585</f>
        <v/>
      </c>
      <c r="O5" s="132"/>
      <c r="P5" s="132"/>
      <c r="Q5" s="132"/>
      <c r="R5" s="132"/>
      <c r="S5" s="150"/>
      <c r="U5" t="s">
        <v>669</v>
      </c>
      <c r="V5" t="s">
        <v>6</v>
      </c>
      <c r="W5" t="s">
        <v>60</v>
      </c>
    </row>
    <row r="6" spans="1:23">
      <c r="A6" s="146"/>
      <c r="B6" s="132"/>
      <c r="C6" s="132"/>
      <c r="D6" s="132"/>
      <c r="E6" s="132"/>
      <c r="F6" s="132"/>
      <c r="G6" s="132"/>
      <c r="H6" s="174"/>
      <c r="I6" s="174"/>
      <c r="J6" s="174"/>
      <c r="K6" s="132"/>
      <c r="L6" s="380">
        <f>'VT P Index'!L586</f>
        <v>0</v>
      </c>
      <c r="M6" s="380" t="str">
        <f>'Soil Test Results'!C6</f>
        <v>low</v>
      </c>
      <c r="N6" s="380" t="str">
        <f>'VT P Index'!J586</f>
        <v/>
      </c>
      <c r="O6" s="132"/>
      <c r="P6" s="132"/>
      <c r="Q6" s="132"/>
      <c r="R6" s="132"/>
      <c r="S6" s="150"/>
      <c r="U6" t="s">
        <v>668</v>
      </c>
      <c r="V6" t="s">
        <v>57</v>
      </c>
      <c r="W6" t="s">
        <v>840</v>
      </c>
    </row>
    <row r="7" spans="1:23">
      <c r="A7" s="146"/>
      <c r="B7" s="132"/>
      <c r="C7" s="132"/>
      <c r="D7" s="132"/>
      <c r="E7" s="132"/>
      <c r="F7" s="132"/>
      <c r="G7" s="132"/>
      <c r="H7" s="174"/>
      <c r="I7" s="174"/>
      <c r="J7" s="174"/>
      <c r="K7" s="132"/>
      <c r="L7" s="380">
        <f>'VT P Index'!L587</f>
        <v>0</v>
      </c>
      <c r="M7" s="380" t="str">
        <f>'Soil Test Results'!C7</f>
        <v>low</v>
      </c>
      <c r="N7" s="380" t="str">
        <f>'VT P Index'!J587</f>
        <v/>
      </c>
      <c r="O7" s="132"/>
      <c r="P7" s="132"/>
      <c r="Q7" s="132"/>
      <c r="R7" s="132"/>
      <c r="S7" s="150"/>
      <c r="U7" t="s">
        <v>667</v>
      </c>
      <c r="V7" t="s">
        <v>58</v>
      </c>
      <c r="W7" t="s">
        <v>61</v>
      </c>
    </row>
    <row r="8" spans="1:23">
      <c r="A8" s="146"/>
      <c r="B8" s="132"/>
      <c r="C8" s="132"/>
      <c r="D8" s="132"/>
      <c r="E8" s="132"/>
      <c r="F8" s="132"/>
      <c r="G8" s="132"/>
      <c r="H8" s="174"/>
      <c r="I8" s="174"/>
      <c r="J8" s="174"/>
      <c r="K8" s="132"/>
      <c r="L8" s="380">
        <f>'VT P Index'!L588</f>
        <v>0</v>
      </c>
      <c r="M8" s="380" t="str">
        <f>'Soil Test Results'!C8</f>
        <v>low</v>
      </c>
      <c r="N8" s="380" t="str">
        <f>'VT P Index'!J588</f>
        <v/>
      </c>
      <c r="O8" s="132"/>
      <c r="P8" s="132"/>
      <c r="Q8" s="132"/>
      <c r="R8" s="132"/>
      <c r="S8" s="150"/>
      <c r="W8" t="s">
        <v>62</v>
      </c>
    </row>
    <row r="9" spans="1:23">
      <c r="A9" s="146"/>
      <c r="B9" s="132"/>
      <c r="C9" s="132"/>
      <c r="D9" s="132"/>
      <c r="E9" s="132"/>
      <c r="F9" s="132"/>
      <c r="G9" s="132"/>
      <c r="H9" s="174"/>
      <c r="I9" s="174"/>
      <c r="J9" s="174"/>
      <c r="K9" s="132"/>
      <c r="L9" s="380">
        <f>'VT P Index'!L589</f>
        <v>0</v>
      </c>
      <c r="M9" s="380" t="str">
        <f>'Soil Test Results'!C9</f>
        <v>low</v>
      </c>
      <c r="N9" s="380" t="str">
        <f>'VT P Index'!J589</f>
        <v/>
      </c>
      <c r="O9" s="132"/>
      <c r="P9" s="132"/>
      <c r="Q9" s="132"/>
      <c r="R9" s="132"/>
      <c r="S9" s="150"/>
      <c r="W9" t="s">
        <v>63</v>
      </c>
    </row>
    <row r="10" spans="1:23">
      <c r="A10" s="146"/>
      <c r="B10" s="132"/>
      <c r="C10" s="132"/>
      <c r="D10" s="132"/>
      <c r="E10" s="132"/>
      <c r="F10" s="132"/>
      <c r="G10" s="132"/>
      <c r="H10" s="174"/>
      <c r="I10" s="174"/>
      <c r="J10" s="174"/>
      <c r="K10" s="132"/>
      <c r="L10" s="380">
        <f>'VT P Index'!L590</f>
        <v>0</v>
      </c>
      <c r="M10" s="380" t="str">
        <f>'Soil Test Results'!C10</f>
        <v>low</v>
      </c>
      <c r="N10" s="380" t="str">
        <f>'VT P Index'!J590</f>
        <v/>
      </c>
      <c r="O10" s="132"/>
      <c r="P10" s="132"/>
      <c r="Q10" s="132"/>
      <c r="R10" s="132"/>
      <c r="S10" s="150"/>
      <c r="W10" t="s">
        <v>64</v>
      </c>
    </row>
    <row r="11" spans="1:23">
      <c r="A11" s="146"/>
      <c r="B11" s="132"/>
      <c r="C11" s="132"/>
      <c r="D11" s="132"/>
      <c r="E11" s="132"/>
      <c r="F11" s="132"/>
      <c r="G11" s="132"/>
      <c r="H11" s="174"/>
      <c r="I11" s="174"/>
      <c r="J11" s="174"/>
      <c r="K11" s="132"/>
      <c r="L11" s="380">
        <f>'VT P Index'!L591</f>
        <v>0</v>
      </c>
      <c r="M11" s="380" t="str">
        <f>'Soil Test Results'!C11</f>
        <v>low</v>
      </c>
      <c r="N11" s="380" t="str">
        <f>'VT P Index'!J591</f>
        <v/>
      </c>
      <c r="O11" s="132"/>
      <c r="P11" s="132"/>
      <c r="Q11" s="132"/>
      <c r="R11" s="132"/>
      <c r="S11" s="150"/>
    </row>
    <row r="12" spans="1:23">
      <c r="A12" s="146"/>
      <c r="B12" s="132"/>
      <c r="C12" s="132"/>
      <c r="D12" s="132"/>
      <c r="E12" s="132"/>
      <c r="F12" s="132"/>
      <c r="G12" s="132"/>
      <c r="H12" s="174"/>
      <c r="I12" s="174"/>
      <c r="J12" s="174"/>
      <c r="K12" s="132"/>
      <c r="L12" s="380">
        <f>'VT P Index'!L592</f>
        <v>0</v>
      </c>
      <c r="M12" s="380" t="str">
        <f>'Soil Test Results'!C12</f>
        <v>low</v>
      </c>
      <c r="N12" s="380" t="str">
        <f>'VT P Index'!J592</f>
        <v/>
      </c>
      <c r="O12" s="132"/>
      <c r="P12" s="132"/>
      <c r="Q12" s="132"/>
      <c r="R12" s="132"/>
      <c r="S12" s="150"/>
    </row>
    <row r="13" spans="1:23">
      <c r="A13" s="146"/>
      <c r="B13" s="132"/>
      <c r="C13" s="132"/>
      <c r="D13" s="132"/>
      <c r="E13" s="132"/>
      <c r="F13" s="132"/>
      <c r="G13" s="132"/>
      <c r="H13" s="174"/>
      <c r="I13" s="174"/>
      <c r="J13" s="174"/>
      <c r="K13" s="132"/>
      <c r="L13" s="380">
        <f>'VT P Index'!L593</f>
        <v>0</v>
      </c>
      <c r="M13" s="380" t="str">
        <f>'Soil Test Results'!C13</f>
        <v>low</v>
      </c>
      <c r="N13" s="380" t="str">
        <f>'VT P Index'!J593</f>
        <v/>
      </c>
      <c r="O13" s="132"/>
      <c r="P13" s="132"/>
      <c r="Q13" s="132"/>
      <c r="R13" s="132"/>
      <c r="S13" s="150"/>
    </row>
    <row r="14" spans="1:23">
      <c r="A14" s="146"/>
      <c r="B14" s="132"/>
      <c r="C14" s="132"/>
      <c r="D14" s="132"/>
      <c r="E14" s="132"/>
      <c r="F14" s="132"/>
      <c r="G14" s="132"/>
      <c r="H14" s="174"/>
      <c r="I14" s="174"/>
      <c r="J14" s="174"/>
      <c r="K14" s="132"/>
      <c r="L14" s="380">
        <f>'VT P Index'!L594</f>
        <v>0</v>
      </c>
      <c r="M14" s="380" t="str">
        <f>'Soil Test Results'!C14</f>
        <v>low</v>
      </c>
      <c r="N14" s="380" t="str">
        <f>'VT P Index'!J594</f>
        <v/>
      </c>
      <c r="O14" s="132"/>
      <c r="P14" s="132"/>
      <c r="Q14" s="132"/>
      <c r="R14" s="132"/>
      <c r="S14" s="150"/>
    </row>
    <row r="15" spans="1:23">
      <c r="A15" s="146"/>
      <c r="B15" s="132"/>
      <c r="C15" s="132"/>
      <c r="D15" s="132"/>
      <c r="E15" s="132"/>
      <c r="F15" s="132"/>
      <c r="G15" s="132"/>
      <c r="H15" s="174"/>
      <c r="I15" s="174"/>
      <c r="J15" s="174"/>
      <c r="K15" s="132"/>
      <c r="L15" s="380">
        <f>'VT P Index'!L595</f>
        <v>0</v>
      </c>
      <c r="M15" s="380" t="str">
        <f>'Soil Test Results'!C15</f>
        <v>low</v>
      </c>
      <c r="N15" s="380" t="str">
        <f>'VT P Index'!J595</f>
        <v/>
      </c>
      <c r="O15" s="132"/>
      <c r="P15" s="132"/>
      <c r="Q15" s="132"/>
      <c r="R15" s="132"/>
      <c r="S15" s="150"/>
    </row>
    <row r="16" spans="1:23">
      <c r="A16" s="146"/>
      <c r="B16" s="132"/>
      <c r="C16" s="132"/>
      <c r="D16" s="132"/>
      <c r="E16" s="132"/>
      <c r="F16" s="132"/>
      <c r="G16" s="132"/>
      <c r="H16" s="174"/>
      <c r="I16" s="174"/>
      <c r="J16" s="174"/>
      <c r="K16" s="132"/>
      <c r="L16" s="380">
        <f>'VT P Index'!L596</f>
        <v>0</v>
      </c>
      <c r="M16" s="380" t="str">
        <f>'Soil Test Results'!C16</f>
        <v>low</v>
      </c>
      <c r="N16" s="380" t="str">
        <f>'VT P Index'!J596</f>
        <v/>
      </c>
      <c r="O16" s="132"/>
      <c r="P16" s="132"/>
      <c r="Q16" s="132"/>
      <c r="R16" s="132"/>
      <c r="S16" s="150"/>
    </row>
    <row r="17" spans="1:19">
      <c r="A17" s="146"/>
      <c r="B17" s="132"/>
      <c r="C17" s="132"/>
      <c r="D17" s="132"/>
      <c r="E17" s="132"/>
      <c r="F17" s="132"/>
      <c r="G17" s="132"/>
      <c r="H17" s="174"/>
      <c r="I17" s="174"/>
      <c r="J17" s="174"/>
      <c r="K17" s="132"/>
      <c r="L17" s="380">
        <f>'VT P Index'!L597</f>
        <v>0</v>
      </c>
      <c r="M17" s="380" t="str">
        <f>'Soil Test Results'!C17</f>
        <v>low</v>
      </c>
      <c r="N17" s="380" t="str">
        <f>'VT P Index'!J597</f>
        <v/>
      </c>
      <c r="O17" s="132"/>
      <c r="P17" s="132"/>
      <c r="Q17" s="132"/>
      <c r="R17" s="132"/>
      <c r="S17" s="150"/>
    </row>
    <row r="18" spans="1:19">
      <c r="A18" s="146"/>
      <c r="B18" s="132"/>
      <c r="C18" s="132"/>
      <c r="D18" s="132"/>
      <c r="E18" s="132"/>
      <c r="F18" s="132"/>
      <c r="G18" s="132"/>
      <c r="H18" s="174"/>
      <c r="I18" s="174"/>
      <c r="J18" s="174"/>
      <c r="K18" s="132"/>
      <c r="L18" s="380">
        <f>'VT P Index'!L598</f>
        <v>0</v>
      </c>
      <c r="M18" s="380" t="str">
        <f>'Soil Test Results'!C18</f>
        <v>low</v>
      </c>
      <c r="N18" s="380" t="str">
        <f>'VT P Index'!J598</f>
        <v/>
      </c>
      <c r="O18" s="132"/>
      <c r="P18" s="132"/>
      <c r="Q18" s="132"/>
      <c r="R18" s="132"/>
      <c r="S18" s="150"/>
    </row>
    <row r="19" spans="1:19">
      <c r="A19" s="146"/>
      <c r="B19" s="132"/>
      <c r="C19" s="132"/>
      <c r="D19" s="132"/>
      <c r="E19" s="132"/>
      <c r="F19" s="132"/>
      <c r="G19" s="132"/>
      <c r="H19" s="174"/>
      <c r="I19" s="174"/>
      <c r="J19" s="174"/>
      <c r="K19" s="132"/>
      <c r="L19" s="380">
        <f>'VT P Index'!L599</f>
        <v>0</v>
      </c>
      <c r="M19" s="380" t="str">
        <f>'Soil Test Results'!C19</f>
        <v>low</v>
      </c>
      <c r="N19" s="380" t="str">
        <f>'VT P Index'!J599</f>
        <v/>
      </c>
      <c r="O19" s="132"/>
      <c r="P19" s="132"/>
      <c r="Q19" s="132"/>
      <c r="R19" s="132"/>
      <c r="S19" s="150"/>
    </row>
    <row r="20" spans="1:19">
      <c r="A20" s="146"/>
      <c r="B20" s="132"/>
      <c r="C20" s="132"/>
      <c r="D20" s="132"/>
      <c r="E20" s="132"/>
      <c r="F20" s="132"/>
      <c r="G20" s="132"/>
      <c r="H20" s="174"/>
      <c r="I20" s="174"/>
      <c r="J20" s="174"/>
      <c r="K20" s="132"/>
      <c r="L20" s="380">
        <f>'VT P Index'!L600</f>
        <v>0</v>
      </c>
      <c r="M20" s="380" t="str">
        <f>'Soil Test Results'!C20</f>
        <v>low</v>
      </c>
      <c r="N20" s="380" t="str">
        <f>'VT P Index'!J600</f>
        <v/>
      </c>
      <c r="O20" s="132"/>
      <c r="P20" s="132"/>
      <c r="Q20" s="132"/>
      <c r="R20" s="132"/>
      <c r="S20" s="150"/>
    </row>
    <row r="21" spans="1:19">
      <c r="A21" s="146"/>
      <c r="B21" s="132"/>
      <c r="C21" s="132"/>
      <c r="D21" s="132"/>
      <c r="E21" s="132"/>
      <c r="F21" s="132"/>
      <c r="G21" s="132"/>
      <c r="H21" s="174"/>
      <c r="I21" s="174"/>
      <c r="J21" s="174"/>
      <c r="K21" s="132"/>
      <c r="L21" s="380">
        <f>'VT P Index'!L601</f>
        <v>0</v>
      </c>
      <c r="M21" s="380" t="str">
        <f>'Soil Test Results'!C21</f>
        <v>low</v>
      </c>
      <c r="N21" s="380" t="str">
        <f>'VT P Index'!J601</f>
        <v/>
      </c>
      <c r="O21" s="132"/>
      <c r="P21" s="132"/>
      <c r="Q21" s="132"/>
      <c r="R21" s="132"/>
      <c r="S21" s="150"/>
    </row>
    <row r="22" spans="1:19">
      <c r="A22" s="146"/>
      <c r="B22" s="132"/>
      <c r="C22" s="132"/>
      <c r="D22" s="132"/>
      <c r="E22" s="132"/>
      <c r="F22" s="132"/>
      <c r="G22" s="132"/>
      <c r="H22" s="174"/>
      <c r="I22" s="174"/>
      <c r="J22" s="174"/>
      <c r="K22" s="132"/>
      <c r="L22" s="380">
        <f>'VT P Index'!L602</f>
        <v>0</v>
      </c>
      <c r="M22" s="380" t="str">
        <f>'Soil Test Results'!C22</f>
        <v>low</v>
      </c>
      <c r="N22" s="380" t="str">
        <f>'VT P Index'!J602</f>
        <v/>
      </c>
      <c r="O22" s="132"/>
      <c r="P22" s="132"/>
      <c r="Q22" s="132"/>
      <c r="R22" s="132"/>
      <c r="S22" s="150"/>
    </row>
    <row r="23" spans="1:19" ht="15.75" thickBot="1">
      <c r="A23" s="146"/>
      <c r="B23" s="132"/>
      <c r="C23" s="132"/>
      <c r="D23" s="148"/>
      <c r="E23" s="148"/>
      <c r="F23" s="148"/>
      <c r="G23" s="148"/>
      <c r="H23" s="178"/>
      <c r="I23" s="178"/>
      <c r="J23" s="178"/>
      <c r="K23" s="148"/>
      <c r="L23" s="380">
        <f>'VT P Index'!L603</f>
        <v>0</v>
      </c>
      <c r="M23" s="380" t="str">
        <f>'Soil Test Results'!C23</f>
        <v>low</v>
      </c>
      <c r="N23" s="380" t="str">
        <f>'VT P Index'!J603</f>
        <v/>
      </c>
      <c r="O23" s="148"/>
      <c r="P23" s="148"/>
      <c r="Q23" s="148"/>
      <c r="R23" s="148"/>
      <c r="S23" s="151"/>
    </row>
    <row r="24" spans="1:19" hidden="1">
      <c r="A24" s="12"/>
      <c r="B24" s="12"/>
      <c r="C24" s="12"/>
      <c r="D24" s="12"/>
      <c r="E24" s="12"/>
      <c r="F24" s="12"/>
      <c r="G24" s="12"/>
      <c r="H24" s="12"/>
      <c r="I24" s="12"/>
      <c r="J24" s="12"/>
      <c r="K24" s="12"/>
      <c r="L24" s="12"/>
    </row>
    <row r="25" spans="1:19" hidden="1">
      <c r="A25" s="12"/>
      <c r="B25" s="12"/>
      <c r="C25" s="12"/>
      <c r="D25" s="12"/>
      <c r="E25" s="12"/>
      <c r="F25" s="12"/>
      <c r="G25" s="12"/>
      <c r="H25" s="12"/>
      <c r="I25" s="12"/>
      <c r="J25" s="12"/>
      <c r="K25" s="12"/>
      <c r="L25" s="12"/>
    </row>
    <row r="26" spans="1:19" hidden="1">
      <c r="A26" s="12"/>
      <c r="B26" s="12"/>
      <c r="C26" s="12"/>
      <c r="D26" s="12"/>
      <c r="E26" s="12"/>
      <c r="F26" s="12"/>
      <c r="G26" s="12"/>
      <c r="H26" s="12"/>
      <c r="I26" s="12"/>
      <c r="J26" s="12"/>
      <c r="K26" s="12"/>
      <c r="L26" s="12"/>
    </row>
    <row r="27" spans="1:19" hidden="1">
      <c r="A27" s="12"/>
      <c r="B27" s="12"/>
      <c r="C27" s="12"/>
      <c r="D27" s="12"/>
      <c r="E27" s="12"/>
      <c r="F27" s="12"/>
      <c r="G27" s="12"/>
      <c r="H27" s="12"/>
      <c r="I27" s="12"/>
      <c r="J27" s="12"/>
      <c r="K27" s="12"/>
      <c r="L27" s="12"/>
    </row>
    <row r="28" spans="1:19" hidden="1">
      <c r="A28" s="12"/>
      <c r="B28" s="12"/>
      <c r="C28" s="12"/>
      <c r="D28" s="12"/>
      <c r="E28" s="12"/>
      <c r="F28" s="12"/>
      <c r="G28" s="12"/>
      <c r="H28" s="12"/>
      <c r="I28" s="12"/>
      <c r="J28" s="12"/>
      <c r="K28" s="12"/>
      <c r="L28" s="12"/>
    </row>
    <row r="29" spans="1:19" hidden="1">
      <c r="A29" s="12"/>
      <c r="B29" s="12"/>
      <c r="C29" s="12"/>
      <c r="D29" s="12"/>
      <c r="E29" s="12"/>
      <c r="F29" s="12"/>
      <c r="G29" s="12"/>
      <c r="H29" s="12"/>
      <c r="I29" s="12"/>
      <c r="J29" s="12"/>
      <c r="K29" s="12"/>
      <c r="L29" s="12"/>
    </row>
    <row r="30" spans="1:19" hidden="1">
      <c r="A30" s="12"/>
      <c r="B30" s="12"/>
      <c r="C30" s="12"/>
      <c r="D30" s="12"/>
      <c r="E30" s="12"/>
      <c r="F30" s="12"/>
      <c r="G30" s="12"/>
      <c r="H30" s="12"/>
      <c r="I30" s="12"/>
      <c r="J30" s="12"/>
      <c r="K30" s="12"/>
      <c r="L30" s="12"/>
    </row>
  </sheetData>
  <sheetProtection sheet="1" objects="1" scenarios="1" selectLockedCells="1"/>
  <phoneticPr fontId="13" type="noConversion"/>
  <dataValidations count="4">
    <dataValidation type="list" allowBlank="1" showInputMessage="1" showErrorMessage="1" sqref="G4:G30">
      <formula1>$W$4:$W$10</formula1>
    </dataValidation>
    <dataValidation type="list" allowBlank="1" showInputMessage="1" showErrorMessage="1" sqref="F4:F30">
      <formula1>$V$4:$V$7</formula1>
    </dataValidation>
    <dataValidation type="list" allowBlank="1" showInputMessage="1" showErrorMessage="1" sqref="N4:N23">
      <formula1>$U$4:$U$7</formula1>
    </dataValidation>
    <dataValidation type="list" allowBlank="1" showInputMessage="1" showErrorMessage="1" sqref="O4:O23">
      <formula1>$U$4:$U$6</formula1>
    </dataValidation>
  </dataValidations>
  <pageMargins left="0.7" right="0.7" top="1" bottom="0.75" header="0.3" footer="0.3"/>
  <pageSetup orientation="landscape" r:id="rId1"/>
  <headerFooter>
    <oddHeader>&amp;L&amp;D&amp;CVegetable Nutrient Management Planning Workbook&amp;R&amp;G</oddHeader>
  </headerFooter>
  <legacyDrawingHF r:id="rId2"/>
</worksheet>
</file>

<file path=xl/worksheets/sheet6.xml><?xml version="1.0" encoding="utf-8"?>
<worksheet xmlns="http://schemas.openxmlformats.org/spreadsheetml/2006/main" xmlns:r="http://schemas.openxmlformats.org/officeDocument/2006/relationships">
  <sheetPr codeName="Sheet4">
    <tabColor theme="8" tint="0.39997558519241921"/>
  </sheetPr>
  <dimension ref="A1:V66"/>
  <sheetViews>
    <sheetView showGridLines="0" showRowColHeaders="0" workbookViewId="0"/>
  </sheetViews>
  <sheetFormatPr defaultColWidth="0" defaultRowHeight="15" zeroHeight="1"/>
  <cols>
    <col min="1" max="1" width="12.5703125" style="58" customWidth="1"/>
    <col min="2" max="2" width="6.42578125" customWidth="1"/>
    <col min="3" max="12" width="10.7109375" customWidth="1"/>
    <col min="13" max="22" width="20.7109375" hidden="1" customWidth="1"/>
  </cols>
  <sheetData>
    <row r="1" spans="1:15" ht="15" customHeight="1"/>
    <row r="2" spans="1:15" ht="15" customHeight="1">
      <c r="C2" s="697" t="s">
        <v>167</v>
      </c>
      <c r="D2" s="697"/>
      <c r="E2" s="697" t="s">
        <v>167</v>
      </c>
      <c r="F2" s="697"/>
      <c r="G2" s="697" t="s">
        <v>167</v>
      </c>
      <c r="H2" s="697"/>
      <c r="I2" s="697" t="s">
        <v>167</v>
      </c>
      <c r="J2" s="697"/>
      <c r="K2" s="697" t="s">
        <v>167</v>
      </c>
      <c r="L2" s="697"/>
      <c r="M2" s="50"/>
      <c r="N2" s="50"/>
      <c r="O2" s="50"/>
    </row>
    <row r="3" spans="1:15" ht="15" customHeight="1">
      <c r="A3" s="61" t="s">
        <v>10</v>
      </c>
      <c r="B3" s="49" t="s">
        <v>79</v>
      </c>
      <c r="C3" s="686" t="s">
        <v>168</v>
      </c>
      <c r="D3" s="686"/>
      <c r="E3" s="686" t="s">
        <v>168</v>
      </c>
      <c r="F3" s="686"/>
      <c r="G3" s="686" t="s">
        <v>168</v>
      </c>
      <c r="H3" s="686"/>
      <c r="I3" s="686" t="s">
        <v>168</v>
      </c>
      <c r="J3" s="686"/>
      <c r="K3" s="686" t="s">
        <v>168</v>
      </c>
      <c r="L3" s="686"/>
    </row>
    <row r="4" spans="1:15" ht="15" customHeight="1">
      <c r="A4" s="694">
        <f>'Field Info'!A4</f>
        <v>0</v>
      </c>
      <c r="B4" s="696">
        <f>'Field Info'!C4</f>
        <v>0</v>
      </c>
      <c r="C4" s="687"/>
      <c r="D4" s="688"/>
      <c r="E4" s="687"/>
      <c r="F4" s="688"/>
      <c r="G4" s="687"/>
      <c r="H4" s="688"/>
      <c r="I4" s="687"/>
      <c r="J4" s="688"/>
      <c r="K4" s="687"/>
      <c r="L4" s="688"/>
      <c r="M4" s="29"/>
      <c r="N4" s="29"/>
      <c r="O4" s="29"/>
    </row>
    <row r="5" spans="1:15" ht="15" customHeight="1">
      <c r="A5" s="694"/>
      <c r="B5" s="696"/>
      <c r="C5" s="689"/>
      <c r="D5" s="690"/>
      <c r="E5" s="689"/>
      <c r="F5" s="690"/>
      <c r="G5" s="689"/>
      <c r="H5" s="690"/>
      <c r="I5" s="689"/>
      <c r="J5" s="690"/>
      <c r="K5" s="689"/>
      <c r="L5" s="690"/>
      <c r="M5" s="29"/>
      <c r="N5" s="29"/>
      <c r="O5" s="29"/>
    </row>
    <row r="6" spans="1:15" ht="15" customHeight="1">
      <c r="A6" s="695"/>
      <c r="B6" s="696"/>
      <c r="C6" s="691"/>
      <c r="D6" s="692"/>
      <c r="E6" s="691"/>
      <c r="F6" s="692"/>
      <c r="G6" s="691"/>
      <c r="H6" s="692"/>
      <c r="I6" s="691"/>
      <c r="J6" s="692"/>
      <c r="K6" s="691"/>
      <c r="L6" s="692"/>
      <c r="M6" s="29"/>
      <c r="N6" s="29"/>
      <c r="O6" s="29"/>
    </row>
    <row r="7" spans="1:15" ht="15" customHeight="1">
      <c r="A7" s="693">
        <f>'Field Info'!A5</f>
        <v>0</v>
      </c>
      <c r="B7" s="696">
        <f>'Field Info'!C5</f>
        <v>0</v>
      </c>
      <c r="C7" s="687"/>
      <c r="D7" s="688"/>
      <c r="E7" s="687"/>
      <c r="F7" s="688"/>
      <c r="G7" s="687"/>
      <c r="H7" s="688"/>
      <c r="I7" s="687"/>
      <c r="J7" s="688"/>
      <c r="K7" s="687"/>
      <c r="L7" s="688"/>
      <c r="M7" s="29"/>
      <c r="N7" s="29"/>
      <c r="O7" s="29"/>
    </row>
    <row r="8" spans="1:15" ht="15" customHeight="1">
      <c r="A8" s="694"/>
      <c r="B8" s="696"/>
      <c r="C8" s="689"/>
      <c r="D8" s="690"/>
      <c r="E8" s="689"/>
      <c r="F8" s="690"/>
      <c r="G8" s="689"/>
      <c r="H8" s="690"/>
      <c r="I8" s="689"/>
      <c r="J8" s="690"/>
      <c r="K8" s="689"/>
      <c r="L8" s="690"/>
      <c r="M8" s="29"/>
      <c r="N8" s="29"/>
      <c r="O8" s="29"/>
    </row>
    <row r="9" spans="1:15" ht="15" customHeight="1">
      <c r="A9" s="695"/>
      <c r="B9" s="696"/>
      <c r="C9" s="691"/>
      <c r="D9" s="692"/>
      <c r="E9" s="691"/>
      <c r="F9" s="692"/>
      <c r="G9" s="691"/>
      <c r="H9" s="692"/>
      <c r="I9" s="691"/>
      <c r="J9" s="692"/>
      <c r="K9" s="691"/>
      <c r="L9" s="692"/>
      <c r="M9" s="29"/>
      <c r="N9" s="29"/>
      <c r="O9" s="29"/>
    </row>
    <row r="10" spans="1:15" ht="15" customHeight="1">
      <c r="A10" s="693">
        <f>'Field Info'!A6</f>
        <v>0</v>
      </c>
      <c r="B10" s="696">
        <f>'Field Info'!C6</f>
        <v>0</v>
      </c>
      <c r="C10" s="687"/>
      <c r="D10" s="688"/>
      <c r="E10" s="687"/>
      <c r="F10" s="688"/>
      <c r="G10" s="687"/>
      <c r="H10" s="688"/>
      <c r="I10" s="687"/>
      <c r="J10" s="688"/>
      <c r="K10" s="687"/>
      <c r="L10" s="688"/>
      <c r="M10" s="29"/>
      <c r="N10" s="29"/>
      <c r="O10" s="29"/>
    </row>
    <row r="11" spans="1:15" ht="15" customHeight="1">
      <c r="A11" s="694"/>
      <c r="B11" s="696"/>
      <c r="C11" s="689"/>
      <c r="D11" s="690"/>
      <c r="E11" s="689"/>
      <c r="F11" s="690"/>
      <c r="G11" s="689"/>
      <c r="H11" s="690"/>
      <c r="I11" s="689"/>
      <c r="J11" s="690"/>
      <c r="K11" s="689"/>
      <c r="L11" s="690"/>
      <c r="M11" s="29"/>
      <c r="N11" s="29"/>
      <c r="O11" s="29"/>
    </row>
    <row r="12" spans="1:15" ht="15" customHeight="1">
      <c r="A12" s="695"/>
      <c r="B12" s="696"/>
      <c r="C12" s="691"/>
      <c r="D12" s="692"/>
      <c r="E12" s="691"/>
      <c r="F12" s="692"/>
      <c r="G12" s="691"/>
      <c r="H12" s="692"/>
      <c r="I12" s="691"/>
      <c r="J12" s="692"/>
      <c r="K12" s="691"/>
      <c r="L12" s="692"/>
      <c r="M12" s="29"/>
      <c r="N12" s="29"/>
      <c r="O12" s="29"/>
    </row>
    <row r="13" spans="1:15" ht="15" customHeight="1">
      <c r="A13" s="693">
        <f>'Field Info'!A7</f>
        <v>0</v>
      </c>
      <c r="B13" s="696">
        <f>'Field Info'!C7</f>
        <v>0</v>
      </c>
      <c r="C13" s="687"/>
      <c r="D13" s="688"/>
      <c r="E13" s="687"/>
      <c r="F13" s="688"/>
      <c r="G13" s="687"/>
      <c r="H13" s="688"/>
      <c r="I13" s="687"/>
      <c r="J13" s="688"/>
      <c r="K13" s="687"/>
      <c r="L13" s="688"/>
      <c r="M13" s="29"/>
      <c r="N13" s="29"/>
      <c r="O13" s="29"/>
    </row>
    <row r="14" spans="1:15" ht="15" customHeight="1">
      <c r="A14" s="694"/>
      <c r="B14" s="696"/>
      <c r="C14" s="689"/>
      <c r="D14" s="690"/>
      <c r="E14" s="689"/>
      <c r="F14" s="690"/>
      <c r="G14" s="689"/>
      <c r="H14" s="690"/>
      <c r="I14" s="689"/>
      <c r="J14" s="690"/>
      <c r="K14" s="689"/>
      <c r="L14" s="690"/>
      <c r="M14" s="29"/>
      <c r="N14" s="29"/>
      <c r="O14" s="29"/>
    </row>
    <row r="15" spans="1:15" ht="15" customHeight="1">
      <c r="A15" s="695"/>
      <c r="B15" s="696"/>
      <c r="C15" s="691"/>
      <c r="D15" s="692"/>
      <c r="E15" s="691"/>
      <c r="F15" s="692"/>
      <c r="G15" s="691"/>
      <c r="H15" s="692"/>
      <c r="I15" s="691"/>
      <c r="J15" s="692"/>
      <c r="K15" s="691"/>
      <c r="L15" s="692"/>
      <c r="M15" s="29"/>
      <c r="N15" s="29"/>
      <c r="O15" s="29"/>
    </row>
    <row r="16" spans="1:15" ht="15" customHeight="1">
      <c r="A16" s="693">
        <f>'Field Info'!A8</f>
        <v>0</v>
      </c>
      <c r="B16" s="696">
        <f>'Field Info'!C8</f>
        <v>0</v>
      </c>
      <c r="C16" s="687"/>
      <c r="D16" s="688"/>
      <c r="E16" s="687"/>
      <c r="F16" s="688"/>
      <c r="G16" s="687"/>
      <c r="H16" s="688"/>
      <c r="I16" s="687"/>
      <c r="J16" s="688"/>
      <c r="K16" s="687"/>
      <c r="L16" s="688"/>
      <c r="M16" s="29"/>
      <c r="N16" s="29"/>
      <c r="O16" s="29"/>
    </row>
    <row r="17" spans="1:15" ht="15" customHeight="1">
      <c r="A17" s="694"/>
      <c r="B17" s="696"/>
      <c r="C17" s="689"/>
      <c r="D17" s="690"/>
      <c r="E17" s="689"/>
      <c r="F17" s="690"/>
      <c r="G17" s="689"/>
      <c r="H17" s="690"/>
      <c r="I17" s="689"/>
      <c r="J17" s="690"/>
      <c r="K17" s="689"/>
      <c r="L17" s="690"/>
      <c r="M17" s="29"/>
      <c r="N17" s="29"/>
      <c r="O17" s="29"/>
    </row>
    <row r="18" spans="1:15" ht="15" customHeight="1">
      <c r="A18" s="695"/>
      <c r="B18" s="696"/>
      <c r="C18" s="691"/>
      <c r="D18" s="692"/>
      <c r="E18" s="691"/>
      <c r="F18" s="692"/>
      <c r="G18" s="691"/>
      <c r="H18" s="692"/>
      <c r="I18" s="691"/>
      <c r="J18" s="692"/>
      <c r="K18" s="691"/>
      <c r="L18" s="692"/>
      <c r="M18" s="29"/>
      <c r="N18" s="29"/>
      <c r="O18" s="29"/>
    </row>
    <row r="19" spans="1:15" ht="15" customHeight="1">
      <c r="A19" s="693">
        <f>'Field Info'!A9</f>
        <v>0</v>
      </c>
      <c r="B19" s="696">
        <f>'Field Info'!C9</f>
        <v>0</v>
      </c>
      <c r="C19" s="687"/>
      <c r="D19" s="688"/>
      <c r="E19" s="687"/>
      <c r="F19" s="688"/>
      <c r="G19" s="687"/>
      <c r="H19" s="688"/>
      <c r="I19" s="687"/>
      <c r="J19" s="688"/>
      <c r="K19" s="687"/>
      <c r="L19" s="688"/>
      <c r="M19" s="29"/>
      <c r="N19" s="29"/>
      <c r="O19" s="29"/>
    </row>
    <row r="20" spans="1:15" ht="15" customHeight="1">
      <c r="A20" s="694"/>
      <c r="B20" s="696"/>
      <c r="C20" s="689"/>
      <c r="D20" s="690"/>
      <c r="E20" s="689"/>
      <c r="F20" s="690"/>
      <c r="G20" s="689"/>
      <c r="H20" s="690"/>
      <c r="I20" s="689"/>
      <c r="J20" s="690"/>
      <c r="K20" s="689"/>
      <c r="L20" s="690"/>
      <c r="M20" s="29"/>
      <c r="N20" s="29"/>
      <c r="O20" s="29"/>
    </row>
    <row r="21" spans="1:15" ht="15" customHeight="1">
      <c r="A21" s="695"/>
      <c r="B21" s="696"/>
      <c r="C21" s="691"/>
      <c r="D21" s="692"/>
      <c r="E21" s="691"/>
      <c r="F21" s="692"/>
      <c r="G21" s="691"/>
      <c r="H21" s="692"/>
      <c r="I21" s="691"/>
      <c r="J21" s="692"/>
      <c r="K21" s="691"/>
      <c r="L21" s="692"/>
      <c r="M21" s="29"/>
      <c r="N21" s="29"/>
      <c r="O21" s="29"/>
    </row>
    <row r="22" spans="1:15" ht="15" customHeight="1">
      <c r="A22" s="693">
        <f>'Field Info'!A10</f>
        <v>0</v>
      </c>
      <c r="B22" s="696">
        <f>'Field Info'!C10</f>
        <v>0</v>
      </c>
      <c r="C22" s="687"/>
      <c r="D22" s="688"/>
      <c r="E22" s="687"/>
      <c r="F22" s="688"/>
      <c r="G22" s="687"/>
      <c r="H22" s="688"/>
      <c r="I22" s="687"/>
      <c r="J22" s="688"/>
      <c r="K22" s="687"/>
      <c r="L22" s="688"/>
      <c r="M22" s="29"/>
      <c r="N22" s="29"/>
      <c r="O22" s="29"/>
    </row>
    <row r="23" spans="1:15" ht="15" customHeight="1">
      <c r="A23" s="694"/>
      <c r="B23" s="696"/>
      <c r="C23" s="689"/>
      <c r="D23" s="690"/>
      <c r="E23" s="689"/>
      <c r="F23" s="690"/>
      <c r="G23" s="689"/>
      <c r="H23" s="690"/>
      <c r="I23" s="689"/>
      <c r="J23" s="690"/>
      <c r="K23" s="689"/>
      <c r="L23" s="690"/>
      <c r="M23" s="29"/>
      <c r="N23" s="29"/>
      <c r="O23" s="29"/>
    </row>
    <row r="24" spans="1:15" ht="15" customHeight="1">
      <c r="A24" s="695"/>
      <c r="B24" s="696"/>
      <c r="C24" s="691"/>
      <c r="D24" s="692"/>
      <c r="E24" s="691"/>
      <c r="F24" s="692"/>
      <c r="G24" s="691"/>
      <c r="H24" s="692"/>
      <c r="I24" s="691"/>
      <c r="J24" s="692"/>
      <c r="K24" s="691"/>
      <c r="L24" s="692"/>
      <c r="M24" s="29"/>
      <c r="N24" s="29"/>
      <c r="O24" s="29"/>
    </row>
    <row r="25" spans="1:15" ht="15" customHeight="1">
      <c r="A25" s="693">
        <f>'Field Info'!A11</f>
        <v>0</v>
      </c>
      <c r="B25" s="696">
        <f>'Field Info'!C11</f>
        <v>0</v>
      </c>
      <c r="C25" s="687"/>
      <c r="D25" s="688"/>
      <c r="E25" s="687"/>
      <c r="F25" s="688"/>
      <c r="G25" s="687"/>
      <c r="H25" s="688"/>
      <c r="I25" s="687"/>
      <c r="J25" s="688"/>
      <c r="K25" s="687"/>
      <c r="L25" s="688"/>
      <c r="M25" s="29"/>
      <c r="N25" s="29"/>
      <c r="O25" s="29"/>
    </row>
    <row r="26" spans="1:15" ht="15" customHeight="1">
      <c r="A26" s="694"/>
      <c r="B26" s="696"/>
      <c r="C26" s="689"/>
      <c r="D26" s="690"/>
      <c r="E26" s="689"/>
      <c r="F26" s="690"/>
      <c r="G26" s="689"/>
      <c r="H26" s="690"/>
      <c r="I26" s="689"/>
      <c r="J26" s="690"/>
      <c r="K26" s="689"/>
      <c r="L26" s="690"/>
      <c r="M26" s="29"/>
      <c r="N26" s="29"/>
      <c r="O26" s="29"/>
    </row>
    <row r="27" spans="1:15" ht="15" customHeight="1">
      <c r="A27" s="695"/>
      <c r="B27" s="696"/>
      <c r="C27" s="691"/>
      <c r="D27" s="692"/>
      <c r="E27" s="691"/>
      <c r="F27" s="692"/>
      <c r="G27" s="691"/>
      <c r="H27" s="692"/>
      <c r="I27" s="691"/>
      <c r="J27" s="692"/>
      <c r="K27" s="691"/>
      <c r="L27" s="692"/>
      <c r="M27" s="29"/>
      <c r="N27" s="29"/>
      <c r="O27" s="29"/>
    </row>
    <row r="28" spans="1:15" ht="15" customHeight="1">
      <c r="A28" s="693">
        <f>'Field Info'!A12</f>
        <v>0</v>
      </c>
      <c r="B28" s="696">
        <f>'Field Info'!C12</f>
        <v>0</v>
      </c>
      <c r="C28" s="687"/>
      <c r="D28" s="688"/>
      <c r="E28" s="687"/>
      <c r="F28" s="688"/>
      <c r="G28" s="687"/>
      <c r="H28" s="688"/>
      <c r="I28" s="687"/>
      <c r="J28" s="688"/>
      <c r="K28" s="687"/>
      <c r="L28" s="688"/>
      <c r="M28" s="29"/>
      <c r="N28" s="29"/>
      <c r="O28" s="29"/>
    </row>
    <row r="29" spans="1:15" ht="15" customHeight="1">
      <c r="A29" s="694"/>
      <c r="B29" s="696"/>
      <c r="C29" s="689"/>
      <c r="D29" s="690"/>
      <c r="E29" s="689"/>
      <c r="F29" s="690"/>
      <c r="G29" s="689"/>
      <c r="H29" s="690"/>
      <c r="I29" s="689"/>
      <c r="J29" s="690"/>
      <c r="K29" s="689"/>
      <c r="L29" s="690"/>
      <c r="M29" s="29"/>
      <c r="N29" s="29"/>
      <c r="O29" s="29"/>
    </row>
    <row r="30" spans="1:15" ht="15" customHeight="1">
      <c r="A30" s="695"/>
      <c r="B30" s="696"/>
      <c r="C30" s="691"/>
      <c r="D30" s="692"/>
      <c r="E30" s="691"/>
      <c r="F30" s="692"/>
      <c r="G30" s="691"/>
      <c r="H30" s="692"/>
      <c r="I30" s="691"/>
      <c r="J30" s="692"/>
      <c r="K30" s="691"/>
      <c r="L30" s="692"/>
      <c r="M30" s="29"/>
      <c r="N30" s="29"/>
      <c r="O30" s="29"/>
    </row>
    <row r="31" spans="1:15" ht="15" customHeight="1">
      <c r="A31" s="693">
        <f>'Field Info'!A13</f>
        <v>0</v>
      </c>
      <c r="B31" s="696">
        <f>'Field Info'!C13</f>
        <v>0</v>
      </c>
      <c r="C31" s="687"/>
      <c r="D31" s="688"/>
      <c r="E31" s="687"/>
      <c r="F31" s="688"/>
      <c r="G31" s="687"/>
      <c r="H31" s="688"/>
      <c r="I31" s="687"/>
      <c r="J31" s="688"/>
      <c r="K31" s="687"/>
      <c r="L31" s="688"/>
      <c r="M31" s="29"/>
      <c r="N31" s="29"/>
      <c r="O31" s="29"/>
    </row>
    <row r="32" spans="1:15" ht="15" customHeight="1">
      <c r="A32" s="694"/>
      <c r="B32" s="696"/>
      <c r="C32" s="689"/>
      <c r="D32" s="690"/>
      <c r="E32" s="689"/>
      <c r="F32" s="690"/>
      <c r="G32" s="689"/>
      <c r="H32" s="690"/>
      <c r="I32" s="689"/>
      <c r="J32" s="690"/>
      <c r="K32" s="689"/>
      <c r="L32" s="690"/>
      <c r="M32" s="29"/>
      <c r="N32" s="29"/>
      <c r="O32" s="29"/>
    </row>
    <row r="33" spans="1:15" ht="15" customHeight="1">
      <c r="A33" s="695"/>
      <c r="B33" s="696"/>
      <c r="C33" s="691"/>
      <c r="D33" s="692"/>
      <c r="E33" s="691"/>
      <c r="F33" s="692"/>
      <c r="G33" s="691"/>
      <c r="H33" s="692"/>
      <c r="I33" s="691"/>
      <c r="J33" s="692"/>
      <c r="K33" s="691"/>
      <c r="L33" s="692"/>
      <c r="M33" s="29"/>
      <c r="N33" s="29"/>
      <c r="O33" s="29"/>
    </row>
    <row r="34" spans="1:15" ht="15" customHeight="1">
      <c r="C34" s="152"/>
      <c r="D34" s="152"/>
      <c r="E34" s="152"/>
      <c r="F34" s="152"/>
      <c r="G34" s="152"/>
      <c r="H34" s="152"/>
      <c r="I34" s="152"/>
      <c r="J34" s="152"/>
      <c r="K34" s="152"/>
      <c r="L34" s="152"/>
    </row>
    <row r="35" spans="1:15" ht="15" customHeight="1">
      <c r="C35" s="697" t="s">
        <v>167</v>
      </c>
      <c r="D35" s="697"/>
      <c r="E35" s="697" t="s">
        <v>167</v>
      </c>
      <c r="F35" s="697"/>
      <c r="G35" s="697" t="s">
        <v>167</v>
      </c>
      <c r="H35" s="697"/>
      <c r="I35" s="697" t="s">
        <v>167</v>
      </c>
      <c r="J35" s="697"/>
      <c r="K35" s="697" t="s">
        <v>167</v>
      </c>
      <c r="L35" s="697"/>
      <c r="M35" s="50"/>
      <c r="N35" s="50"/>
      <c r="O35" s="50"/>
    </row>
    <row r="36" spans="1:15" ht="15" customHeight="1">
      <c r="A36" s="59" t="s">
        <v>10</v>
      </c>
      <c r="B36" s="49" t="s">
        <v>79</v>
      </c>
      <c r="C36" s="686" t="s">
        <v>168</v>
      </c>
      <c r="D36" s="686"/>
      <c r="E36" s="686" t="s">
        <v>168</v>
      </c>
      <c r="F36" s="686"/>
      <c r="G36" s="686" t="s">
        <v>168</v>
      </c>
      <c r="H36" s="686"/>
      <c r="I36" s="686" t="s">
        <v>168</v>
      </c>
      <c r="J36" s="686"/>
      <c r="K36" s="686" t="s">
        <v>168</v>
      </c>
      <c r="L36" s="686"/>
    </row>
    <row r="37" spans="1:15" ht="15" customHeight="1">
      <c r="A37" s="693">
        <f>'Field Info'!A14</f>
        <v>0</v>
      </c>
      <c r="B37" s="696">
        <f>'Field Info'!C14</f>
        <v>0</v>
      </c>
      <c r="C37" s="687"/>
      <c r="D37" s="688"/>
      <c r="E37" s="687"/>
      <c r="F37" s="688"/>
      <c r="G37" s="687"/>
      <c r="H37" s="688"/>
      <c r="I37" s="687"/>
      <c r="J37" s="688"/>
      <c r="K37" s="687"/>
      <c r="L37" s="688"/>
      <c r="M37" s="29"/>
      <c r="N37" s="29"/>
      <c r="O37" s="29"/>
    </row>
    <row r="38" spans="1:15" ht="15" customHeight="1">
      <c r="A38" s="694"/>
      <c r="B38" s="696"/>
      <c r="C38" s="689"/>
      <c r="D38" s="690"/>
      <c r="E38" s="689"/>
      <c r="F38" s="690"/>
      <c r="G38" s="689"/>
      <c r="H38" s="690"/>
      <c r="I38" s="689"/>
      <c r="J38" s="690"/>
      <c r="K38" s="689"/>
      <c r="L38" s="690"/>
      <c r="M38" s="29"/>
      <c r="N38" s="29"/>
      <c r="O38" s="29"/>
    </row>
    <row r="39" spans="1:15" ht="15" customHeight="1">
      <c r="A39" s="695"/>
      <c r="B39" s="696"/>
      <c r="C39" s="691"/>
      <c r="D39" s="692"/>
      <c r="E39" s="691"/>
      <c r="F39" s="692"/>
      <c r="G39" s="691"/>
      <c r="H39" s="692"/>
      <c r="I39" s="691"/>
      <c r="J39" s="692"/>
      <c r="K39" s="691"/>
      <c r="L39" s="692"/>
      <c r="M39" s="29"/>
      <c r="N39" s="29"/>
      <c r="O39" s="29"/>
    </row>
    <row r="40" spans="1:15" ht="15" customHeight="1">
      <c r="A40" s="693">
        <f>'Field Info'!A15</f>
        <v>0</v>
      </c>
      <c r="B40" s="696">
        <f>'Field Info'!C15</f>
        <v>0</v>
      </c>
      <c r="C40" s="687"/>
      <c r="D40" s="688"/>
      <c r="E40" s="687"/>
      <c r="F40" s="688"/>
      <c r="G40" s="687"/>
      <c r="H40" s="688"/>
      <c r="I40" s="687"/>
      <c r="J40" s="688"/>
      <c r="K40" s="687"/>
      <c r="L40" s="688"/>
      <c r="M40" s="29"/>
      <c r="N40" s="29"/>
      <c r="O40" s="29"/>
    </row>
    <row r="41" spans="1:15" ht="15" customHeight="1">
      <c r="A41" s="694"/>
      <c r="B41" s="696"/>
      <c r="C41" s="689"/>
      <c r="D41" s="690"/>
      <c r="E41" s="689"/>
      <c r="F41" s="690"/>
      <c r="G41" s="689"/>
      <c r="H41" s="690"/>
      <c r="I41" s="689"/>
      <c r="J41" s="690"/>
      <c r="K41" s="689"/>
      <c r="L41" s="690"/>
      <c r="M41" s="29"/>
      <c r="N41" s="29"/>
      <c r="O41" s="29"/>
    </row>
    <row r="42" spans="1:15" ht="15" customHeight="1">
      <c r="A42" s="695"/>
      <c r="B42" s="696"/>
      <c r="C42" s="691"/>
      <c r="D42" s="692"/>
      <c r="E42" s="691"/>
      <c r="F42" s="692"/>
      <c r="G42" s="691"/>
      <c r="H42" s="692"/>
      <c r="I42" s="691"/>
      <c r="J42" s="692"/>
      <c r="K42" s="691"/>
      <c r="L42" s="692"/>
      <c r="M42" s="29"/>
      <c r="N42" s="29"/>
      <c r="O42" s="29"/>
    </row>
    <row r="43" spans="1:15" ht="15" customHeight="1">
      <c r="A43" s="693">
        <f>'Field Info'!A16</f>
        <v>0</v>
      </c>
      <c r="B43" s="696">
        <f>'Field Info'!C16</f>
        <v>0</v>
      </c>
      <c r="C43" s="687"/>
      <c r="D43" s="688"/>
      <c r="E43" s="687"/>
      <c r="F43" s="688"/>
      <c r="G43" s="687"/>
      <c r="H43" s="688"/>
      <c r="I43" s="687"/>
      <c r="J43" s="688"/>
      <c r="K43" s="687"/>
      <c r="L43" s="688"/>
      <c r="M43" s="29"/>
      <c r="N43" s="29"/>
      <c r="O43" s="29"/>
    </row>
    <row r="44" spans="1:15" ht="15" customHeight="1">
      <c r="A44" s="694"/>
      <c r="B44" s="696"/>
      <c r="C44" s="689"/>
      <c r="D44" s="690"/>
      <c r="E44" s="689"/>
      <c r="F44" s="690"/>
      <c r="G44" s="689"/>
      <c r="H44" s="690"/>
      <c r="I44" s="689"/>
      <c r="J44" s="690"/>
      <c r="K44" s="689"/>
      <c r="L44" s="690"/>
      <c r="M44" s="29"/>
      <c r="N44" s="29"/>
      <c r="O44" s="29"/>
    </row>
    <row r="45" spans="1:15" ht="15" customHeight="1">
      <c r="A45" s="695"/>
      <c r="B45" s="696"/>
      <c r="C45" s="691"/>
      <c r="D45" s="692"/>
      <c r="E45" s="691"/>
      <c r="F45" s="692"/>
      <c r="G45" s="691"/>
      <c r="H45" s="692"/>
      <c r="I45" s="691"/>
      <c r="J45" s="692"/>
      <c r="K45" s="691"/>
      <c r="L45" s="692"/>
      <c r="M45" s="29"/>
      <c r="N45" s="29"/>
      <c r="O45" s="29"/>
    </row>
    <row r="46" spans="1:15" ht="15" customHeight="1">
      <c r="A46" s="693">
        <f>'Field Info'!A17</f>
        <v>0</v>
      </c>
      <c r="B46" s="696">
        <f>'Field Info'!C17</f>
        <v>0</v>
      </c>
      <c r="C46" s="687"/>
      <c r="D46" s="688"/>
      <c r="E46" s="687"/>
      <c r="F46" s="688"/>
      <c r="G46" s="687"/>
      <c r="H46" s="688"/>
      <c r="I46" s="687"/>
      <c r="J46" s="688"/>
      <c r="K46" s="687"/>
      <c r="L46" s="688"/>
      <c r="M46" s="29"/>
      <c r="N46" s="29"/>
      <c r="O46" s="29"/>
    </row>
    <row r="47" spans="1:15" ht="15" customHeight="1">
      <c r="A47" s="694"/>
      <c r="B47" s="696"/>
      <c r="C47" s="689"/>
      <c r="D47" s="690"/>
      <c r="E47" s="689"/>
      <c r="F47" s="690"/>
      <c r="G47" s="689"/>
      <c r="H47" s="690"/>
      <c r="I47" s="689"/>
      <c r="J47" s="690"/>
      <c r="K47" s="689"/>
      <c r="L47" s="690"/>
      <c r="M47" s="29"/>
      <c r="N47" s="29"/>
      <c r="O47" s="29"/>
    </row>
    <row r="48" spans="1:15" ht="15" customHeight="1">
      <c r="A48" s="695"/>
      <c r="B48" s="696"/>
      <c r="C48" s="691"/>
      <c r="D48" s="692"/>
      <c r="E48" s="691"/>
      <c r="F48" s="692"/>
      <c r="G48" s="691"/>
      <c r="H48" s="692"/>
      <c r="I48" s="691"/>
      <c r="J48" s="692"/>
      <c r="K48" s="691"/>
      <c r="L48" s="692"/>
      <c r="M48" s="29"/>
      <c r="N48" s="29"/>
      <c r="O48" s="29"/>
    </row>
    <row r="49" spans="1:15" ht="15" customHeight="1">
      <c r="A49" s="693">
        <f>'Field Info'!A18</f>
        <v>0</v>
      </c>
      <c r="B49" s="696">
        <f>'Field Info'!C18</f>
        <v>0</v>
      </c>
      <c r="C49" s="687"/>
      <c r="D49" s="688"/>
      <c r="E49" s="687"/>
      <c r="F49" s="688"/>
      <c r="G49" s="687"/>
      <c r="H49" s="688"/>
      <c r="I49" s="687"/>
      <c r="J49" s="688"/>
      <c r="K49" s="687"/>
      <c r="L49" s="688"/>
      <c r="M49" s="29"/>
      <c r="N49" s="29"/>
      <c r="O49" s="29"/>
    </row>
    <row r="50" spans="1:15" ht="15" customHeight="1">
      <c r="A50" s="694"/>
      <c r="B50" s="696"/>
      <c r="C50" s="689"/>
      <c r="D50" s="690"/>
      <c r="E50" s="689"/>
      <c r="F50" s="690"/>
      <c r="G50" s="689"/>
      <c r="H50" s="690"/>
      <c r="I50" s="689"/>
      <c r="J50" s="690"/>
      <c r="K50" s="689"/>
      <c r="L50" s="690"/>
      <c r="M50" s="29"/>
      <c r="N50" s="29"/>
      <c r="O50" s="29"/>
    </row>
    <row r="51" spans="1:15" ht="15" customHeight="1">
      <c r="A51" s="695"/>
      <c r="B51" s="696"/>
      <c r="C51" s="691"/>
      <c r="D51" s="692"/>
      <c r="E51" s="691"/>
      <c r="F51" s="692"/>
      <c r="G51" s="691"/>
      <c r="H51" s="692"/>
      <c r="I51" s="691"/>
      <c r="J51" s="692"/>
      <c r="K51" s="691"/>
      <c r="L51" s="692"/>
      <c r="M51" s="29"/>
      <c r="N51" s="29"/>
      <c r="O51" s="29"/>
    </row>
    <row r="52" spans="1:15" ht="15" customHeight="1">
      <c r="A52" s="693">
        <f>'Field Info'!A19</f>
        <v>0</v>
      </c>
      <c r="B52" s="696">
        <f>'Field Info'!C19</f>
        <v>0</v>
      </c>
      <c r="C52" s="687"/>
      <c r="D52" s="688"/>
      <c r="E52" s="687"/>
      <c r="F52" s="688"/>
      <c r="G52" s="687"/>
      <c r="H52" s="688"/>
      <c r="I52" s="687"/>
      <c r="J52" s="688"/>
      <c r="K52" s="687"/>
      <c r="L52" s="688"/>
      <c r="M52" s="29"/>
      <c r="N52" s="29"/>
      <c r="O52" s="29"/>
    </row>
    <row r="53" spans="1:15" ht="15" customHeight="1">
      <c r="A53" s="694"/>
      <c r="B53" s="696"/>
      <c r="C53" s="689"/>
      <c r="D53" s="690"/>
      <c r="E53" s="689"/>
      <c r="F53" s="690"/>
      <c r="G53" s="689"/>
      <c r="H53" s="690"/>
      <c r="I53" s="689"/>
      <c r="J53" s="690"/>
      <c r="K53" s="689"/>
      <c r="L53" s="690"/>
      <c r="M53" s="29"/>
      <c r="N53" s="29"/>
      <c r="O53" s="29"/>
    </row>
    <row r="54" spans="1:15">
      <c r="A54" s="695"/>
      <c r="B54" s="696"/>
      <c r="C54" s="691"/>
      <c r="D54" s="692"/>
      <c r="E54" s="691"/>
      <c r="F54" s="692"/>
      <c r="G54" s="691"/>
      <c r="H54" s="692"/>
      <c r="I54" s="691"/>
      <c r="J54" s="692"/>
      <c r="K54" s="691"/>
      <c r="L54" s="692"/>
      <c r="M54" s="29"/>
      <c r="N54" s="29"/>
      <c r="O54" s="29"/>
    </row>
    <row r="55" spans="1:15">
      <c r="A55" s="693">
        <f>'Field Info'!A20</f>
        <v>0</v>
      </c>
      <c r="B55" s="696">
        <f>'Field Info'!C20</f>
        <v>0</v>
      </c>
      <c r="C55" s="687"/>
      <c r="D55" s="688"/>
      <c r="E55" s="687"/>
      <c r="F55" s="688"/>
      <c r="G55" s="687"/>
      <c r="H55" s="688"/>
      <c r="I55" s="687"/>
      <c r="J55" s="688"/>
      <c r="K55" s="687"/>
      <c r="L55" s="688"/>
      <c r="M55" s="29"/>
      <c r="N55" s="29"/>
      <c r="O55" s="29"/>
    </row>
    <row r="56" spans="1:15">
      <c r="A56" s="694"/>
      <c r="B56" s="696"/>
      <c r="C56" s="689"/>
      <c r="D56" s="690"/>
      <c r="E56" s="689"/>
      <c r="F56" s="690"/>
      <c r="G56" s="689"/>
      <c r="H56" s="690"/>
      <c r="I56" s="689"/>
      <c r="J56" s="690"/>
      <c r="K56" s="689"/>
      <c r="L56" s="690"/>
      <c r="M56" s="29"/>
      <c r="N56" s="29"/>
      <c r="O56" s="29"/>
    </row>
    <row r="57" spans="1:15">
      <c r="A57" s="695"/>
      <c r="B57" s="696"/>
      <c r="C57" s="691"/>
      <c r="D57" s="692"/>
      <c r="E57" s="691"/>
      <c r="F57" s="692"/>
      <c r="G57" s="691"/>
      <c r="H57" s="692"/>
      <c r="I57" s="691"/>
      <c r="J57" s="692"/>
      <c r="K57" s="691"/>
      <c r="L57" s="692"/>
      <c r="M57" s="29"/>
      <c r="N57" s="29"/>
      <c r="O57" s="29"/>
    </row>
    <row r="58" spans="1:15">
      <c r="A58" s="693">
        <f>'Field Info'!A21</f>
        <v>0</v>
      </c>
      <c r="B58" s="696">
        <f>'Field Info'!C21</f>
        <v>0</v>
      </c>
      <c r="C58" s="687"/>
      <c r="D58" s="688"/>
      <c r="E58" s="687"/>
      <c r="F58" s="688"/>
      <c r="G58" s="687"/>
      <c r="H58" s="688"/>
      <c r="I58" s="687"/>
      <c r="J58" s="688"/>
      <c r="K58" s="687"/>
      <c r="L58" s="688"/>
      <c r="M58" s="29"/>
      <c r="N58" s="29"/>
      <c r="O58" s="29"/>
    </row>
    <row r="59" spans="1:15">
      <c r="A59" s="694"/>
      <c r="B59" s="696"/>
      <c r="C59" s="689"/>
      <c r="D59" s="690"/>
      <c r="E59" s="689"/>
      <c r="F59" s="690"/>
      <c r="G59" s="689"/>
      <c r="H59" s="690"/>
      <c r="I59" s="689"/>
      <c r="J59" s="690"/>
      <c r="K59" s="689"/>
      <c r="L59" s="690"/>
      <c r="M59" s="29"/>
      <c r="N59" s="29"/>
      <c r="O59" s="29"/>
    </row>
    <row r="60" spans="1:15">
      <c r="A60" s="695"/>
      <c r="B60" s="696"/>
      <c r="C60" s="691"/>
      <c r="D60" s="692"/>
      <c r="E60" s="691"/>
      <c r="F60" s="692"/>
      <c r="G60" s="691"/>
      <c r="H60" s="692"/>
      <c r="I60" s="691"/>
      <c r="J60" s="692"/>
      <c r="K60" s="691"/>
      <c r="L60" s="692"/>
      <c r="M60" s="29"/>
      <c r="N60" s="29"/>
      <c r="O60" s="29"/>
    </row>
    <row r="61" spans="1:15">
      <c r="A61" s="693">
        <f>'Field Info'!A22</f>
        <v>0</v>
      </c>
      <c r="B61" s="696">
        <f>'Field Info'!C22</f>
        <v>0</v>
      </c>
      <c r="C61" s="687"/>
      <c r="D61" s="688"/>
      <c r="E61" s="687"/>
      <c r="F61" s="688"/>
      <c r="G61" s="687"/>
      <c r="H61" s="688"/>
      <c r="I61" s="687"/>
      <c r="J61" s="688"/>
      <c r="K61" s="687"/>
      <c r="L61" s="688"/>
      <c r="M61" s="29"/>
      <c r="N61" s="29"/>
      <c r="O61" s="29"/>
    </row>
    <row r="62" spans="1:15">
      <c r="A62" s="694"/>
      <c r="B62" s="696"/>
      <c r="C62" s="689"/>
      <c r="D62" s="690"/>
      <c r="E62" s="689"/>
      <c r="F62" s="690"/>
      <c r="G62" s="689"/>
      <c r="H62" s="690"/>
      <c r="I62" s="689"/>
      <c r="J62" s="690"/>
      <c r="K62" s="689"/>
      <c r="L62" s="690"/>
      <c r="M62" s="29"/>
      <c r="N62" s="29"/>
      <c r="O62" s="29"/>
    </row>
    <row r="63" spans="1:15">
      <c r="A63" s="695"/>
      <c r="B63" s="696"/>
      <c r="C63" s="691"/>
      <c r="D63" s="692"/>
      <c r="E63" s="691"/>
      <c r="F63" s="692"/>
      <c r="G63" s="691"/>
      <c r="H63" s="692"/>
      <c r="I63" s="691"/>
      <c r="J63" s="692"/>
      <c r="K63" s="691"/>
      <c r="L63" s="692"/>
      <c r="M63" s="29"/>
      <c r="N63" s="29"/>
      <c r="O63" s="29"/>
    </row>
    <row r="64" spans="1:15">
      <c r="A64" s="693">
        <f>'Field Info'!A23</f>
        <v>0</v>
      </c>
      <c r="B64" s="696">
        <f>'Field Info'!C23</f>
        <v>0</v>
      </c>
      <c r="C64" s="687"/>
      <c r="D64" s="688"/>
      <c r="E64" s="687"/>
      <c r="F64" s="688"/>
      <c r="G64" s="687"/>
      <c r="H64" s="688"/>
      <c r="I64" s="687"/>
      <c r="J64" s="688"/>
      <c r="K64" s="687"/>
      <c r="L64" s="688"/>
      <c r="M64" s="29"/>
      <c r="N64" s="29"/>
      <c r="O64" s="29"/>
    </row>
    <row r="65" spans="1:12">
      <c r="A65" s="694"/>
      <c r="B65" s="696"/>
      <c r="C65" s="689"/>
      <c r="D65" s="690"/>
      <c r="E65" s="689"/>
      <c r="F65" s="690"/>
      <c r="G65" s="689"/>
      <c r="H65" s="690"/>
      <c r="I65" s="689"/>
      <c r="J65" s="690"/>
      <c r="K65" s="689"/>
      <c r="L65" s="690"/>
    </row>
    <row r="66" spans="1:12">
      <c r="A66" s="695"/>
      <c r="B66" s="696"/>
      <c r="C66" s="691"/>
      <c r="D66" s="692"/>
      <c r="E66" s="691"/>
      <c r="F66" s="692"/>
      <c r="G66" s="691"/>
      <c r="H66" s="692"/>
      <c r="I66" s="691"/>
      <c r="J66" s="692"/>
      <c r="K66" s="691"/>
      <c r="L66" s="692"/>
    </row>
  </sheetData>
  <mergeCells count="160">
    <mergeCell ref="A4:A6"/>
    <mergeCell ref="B4:B6"/>
    <mergeCell ref="K2:L2"/>
    <mergeCell ref="K35:L35"/>
    <mergeCell ref="C35:D35"/>
    <mergeCell ref="E35:F35"/>
    <mergeCell ref="G35:H35"/>
    <mergeCell ref="I35:J35"/>
    <mergeCell ref="A7:A9"/>
    <mergeCell ref="B7:B9"/>
    <mergeCell ref="A10:A12"/>
    <mergeCell ref="B10:B12"/>
    <mergeCell ref="K4:L6"/>
    <mergeCell ref="K3:L3"/>
    <mergeCell ref="K13:L15"/>
    <mergeCell ref="K7:L9"/>
    <mergeCell ref="K19:L21"/>
    <mergeCell ref="K10:L12"/>
    <mergeCell ref="K25:L27"/>
    <mergeCell ref="K16:L18"/>
    <mergeCell ref="C25:D27"/>
    <mergeCell ref="A64:A66"/>
    <mergeCell ref="B64:B66"/>
    <mergeCell ref="A19:A21"/>
    <mergeCell ref="B19:B21"/>
    <mergeCell ref="A22:A24"/>
    <mergeCell ref="B22:B24"/>
    <mergeCell ref="A13:A15"/>
    <mergeCell ref="B13:B15"/>
    <mergeCell ref="A16:A18"/>
    <mergeCell ref="B16:B18"/>
    <mergeCell ref="A31:A33"/>
    <mergeCell ref="B31:B33"/>
    <mergeCell ref="A37:A39"/>
    <mergeCell ref="B37:B39"/>
    <mergeCell ref="A25:A27"/>
    <mergeCell ref="B25:B27"/>
    <mergeCell ref="A28:A30"/>
    <mergeCell ref="B28:B30"/>
    <mergeCell ref="A40:A42"/>
    <mergeCell ref="B40:B42"/>
    <mergeCell ref="A58:A60"/>
    <mergeCell ref="B58:B60"/>
    <mergeCell ref="A43:A45"/>
    <mergeCell ref="B43:B45"/>
    <mergeCell ref="A46:A48"/>
    <mergeCell ref="B46:B48"/>
    <mergeCell ref="A49:A51"/>
    <mergeCell ref="B49:B51"/>
    <mergeCell ref="E4:F6"/>
    <mergeCell ref="G4:H6"/>
    <mergeCell ref="I4:J6"/>
    <mergeCell ref="C2:D2"/>
    <mergeCell ref="E2:F2"/>
    <mergeCell ref="I2:J2"/>
    <mergeCell ref="G2:H2"/>
    <mergeCell ref="C3:D3"/>
    <mergeCell ref="E3:F3"/>
    <mergeCell ref="G3:H3"/>
    <mergeCell ref="I3:J3"/>
    <mergeCell ref="C4:D6"/>
    <mergeCell ref="C7:D9"/>
    <mergeCell ref="E7:F9"/>
    <mergeCell ref="G7:H9"/>
    <mergeCell ref="I7:J9"/>
    <mergeCell ref="C10:D12"/>
    <mergeCell ref="E10:F12"/>
    <mergeCell ref="G10:H12"/>
    <mergeCell ref="I10:J12"/>
    <mergeCell ref="A61:A63"/>
    <mergeCell ref="B61:B63"/>
    <mergeCell ref="A52:A54"/>
    <mergeCell ref="B52:B54"/>
    <mergeCell ref="A55:A57"/>
    <mergeCell ref="B55:B57"/>
    <mergeCell ref="E13:F15"/>
    <mergeCell ref="G13:H15"/>
    <mergeCell ref="I13:J15"/>
    <mergeCell ref="E19:F21"/>
    <mergeCell ref="G19:H21"/>
    <mergeCell ref="I19:J21"/>
    <mergeCell ref="C13:D15"/>
    <mergeCell ref="E25:F27"/>
    <mergeCell ref="G25:H27"/>
    <mergeCell ref="I25:J27"/>
    <mergeCell ref="C19:D21"/>
    <mergeCell ref="E31:F33"/>
    <mergeCell ref="G31:H33"/>
    <mergeCell ref="I31:J33"/>
    <mergeCell ref="C16:D18"/>
    <mergeCell ref="E16:F18"/>
    <mergeCell ref="G16:H18"/>
    <mergeCell ref="I16:J18"/>
    <mergeCell ref="C36:D36"/>
    <mergeCell ref="E36:F36"/>
    <mergeCell ref="G36:H36"/>
    <mergeCell ref="I36:J36"/>
    <mergeCell ref="C31:D33"/>
    <mergeCell ref="C37:D39"/>
    <mergeCell ref="E37:F39"/>
    <mergeCell ref="G37:H39"/>
    <mergeCell ref="I37:J39"/>
    <mergeCell ref="K31:L33"/>
    <mergeCell ref="C22:D24"/>
    <mergeCell ref="E22:F24"/>
    <mergeCell ref="G22:H24"/>
    <mergeCell ref="I22:J24"/>
    <mergeCell ref="K22:L24"/>
    <mergeCell ref="C28:D30"/>
    <mergeCell ref="E28:F30"/>
    <mergeCell ref="G28:H30"/>
    <mergeCell ref="I28:J30"/>
    <mergeCell ref="K28:L30"/>
    <mergeCell ref="C43:D45"/>
    <mergeCell ref="E43:F45"/>
    <mergeCell ref="G43:H45"/>
    <mergeCell ref="I43:J45"/>
    <mergeCell ref="K43:L45"/>
    <mergeCell ref="C40:D42"/>
    <mergeCell ref="E40:F42"/>
    <mergeCell ref="G40:H42"/>
    <mergeCell ref="I40:J42"/>
    <mergeCell ref="K64:L66"/>
    <mergeCell ref="C55:D57"/>
    <mergeCell ref="E55:F57"/>
    <mergeCell ref="G55:H57"/>
    <mergeCell ref="I55:J57"/>
    <mergeCell ref="K55:L57"/>
    <mergeCell ref="C64:D66"/>
    <mergeCell ref="E64:F66"/>
    <mergeCell ref="G64:H66"/>
    <mergeCell ref="I64:J66"/>
    <mergeCell ref="C58:D60"/>
    <mergeCell ref="E58:F60"/>
    <mergeCell ref="G58:H60"/>
    <mergeCell ref="I58:J60"/>
    <mergeCell ref="K36:L36"/>
    <mergeCell ref="C61:D63"/>
    <mergeCell ref="E61:F63"/>
    <mergeCell ref="G61:H63"/>
    <mergeCell ref="I61:J63"/>
    <mergeCell ref="K61:L63"/>
    <mergeCell ref="K58:L60"/>
    <mergeCell ref="C49:D51"/>
    <mergeCell ref="E49:F51"/>
    <mergeCell ref="G49:H51"/>
    <mergeCell ref="C52:D54"/>
    <mergeCell ref="E52:F54"/>
    <mergeCell ref="G52:H54"/>
    <mergeCell ref="I52:J54"/>
    <mergeCell ref="K46:L48"/>
    <mergeCell ref="I49:J51"/>
    <mergeCell ref="K49:L51"/>
    <mergeCell ref="K52:L54"/>
    <mergeCell ref="K37:L39"/>
    <mergeCell ref="C46:D48"/>
    <mergeCell ref="E46:F48"/>
    <mergeCell ref="G46:H48"/>
    <mergeCell ref="I46:J48"/>
    <mergeCell ref="K40:L42"/>
  </mergeCells>
  <phoneticPr fontId="13" type="noConversion"/>
  <pageMargins left="0.45" right="0.2" top="1" bottom="0.75" header="0.3" footer="0.3"/>
  <pageSetup orientation="landscape" r:id="rId1"/>
  <headerFooter>
    <oddHeader>&amp;L&amp;D&amp;CVegetable Nutrient Management Planning Workbook&amp;R&amp;G</oddHeader>
  </headerFooter>
  <legacyDrawingHF r:id="rId2"/>
</worksheet>
</file>

<file path=xl/worksheets/sheet7.xml><?xml version="1.0" encoding="utf-8"?>
<worksheet xmlns="http://schemas.openxmlformats.org/spreadsheetml/2006/main" xmlns:r="http://schemas.openxmlformats.org/officeDocument/2006/relationships">
  <sheetPr codeName="Sheet7">
    <tabColor theme="4" tint="0.79998168889431442"/>
  </sheetPr>
  <dimension ref="A1:L31"/>
  <sheetViews>
    <sheetView showGridLines="0" showRowColHeaders="0" workbookViewId="0"/>
  </sheetViews>
  <sheetFormatPr defaultColWidth="0" defaultRowHeight="15" zeroHeight="1"/>
  <cols>
    <col min="1" max="1" width="17.28515625" customWidth="1"/>
    <col min="2" max="12" width="9.140625" customWidth="1"/>
  </cols>
  <sheetData>
    <row r="1" spans="1:12">
      <c r="B1" s="698" t="s">
        <v>69</v>
      </c>
      <c r="C1" s="698"/>
      <c r="D1" s="698"/>
      <c r="E1" s="698"/>
      <c r="F1" s="698"/>
      <c r="G1" s="698"/>
      <c r="H1" s="698"/>
      <c r="I1" s="698"/>
      <c r="J1" s="698"/>
      <c r="K1" s="698"/>
      <c r="L1" s="698"/>
    </row>
    <row r="2" spans="1:12"/>
    <row r="3" spans="1:12" s="1" customFormat="1">
      <c r="A3" s="1" t="s">
        <v>10</v>
      </c>
      <c r="B3" s="155">
        <v>2009</v>
      </c>
      <c r="C3" s="155">
        <v>2010</v>
      </c>
      <c r="D3" s="155">
        <v>2011</v>
      </c>
      <c r="E3" s="155">
        <v>2012</v>
      </c>
      <c r="F3" s="155">
        <v>2013</v>
      </c>
      <c r="G3" s="155">
        <v>2014</v>
      </c>
      <c r="H3" s="155">
        <v>2015</v>
      </c>
      <c r="I3" s="155">
        <v>2016</v>
      </c>
      <c r="J3" s="155">
        <v>2017</v>
      </c>
      <c r="K3" s="155">
        <v>2018</v>
      </c>
      <c r="L3" s="155">
        <v>2019</v>
      </c>
    </row>
    <row r="4" spans="1:12">
      <c r="A4" s="2" t="str">
        <f>IF('Field Info'!A4="","",'Field Info'!A4)</f>
        <v/>
      </c>
      <c r="B4" s="180"/>
      <c r="C4" s="132"/>
      <c r="D4" s="132"/>
      <c r="E4" s="132"/>
      <c r="F4" s="132"/>
      <c r="G4" s="132"/>
      <c r="H4" s="132"/>
      <c r="I4" s="132"/>
      <c r="J4" s="132"/>
      <c r="K4" s="132"/>
      <c r="L4" s="132"/>
    </row>
    <row r="5" spans="1:12">
      <c r="A5" s="2" t="str">
        <f>IF('Field Info'!A5="","",'Field Info'!A5)</f>
        <v/>
      </c>
      <c r="B5" s="180"/>
      <c r="C5" s="132"/>
      <c r="D5" s="132"/>
      <c r="E5" s="132"/>
      <c r="F5" s="132"/>
      <c r="G5" s="132"/>
      <c r="H5" s="132"/>
      <c r="I5" s="132"/>
      <c r="J5" s="132"/>
      <c r="K5" s="132"/>
      <c r="L5" s="132"/>
    </row>
    <row r="6" spans="1:12">
      <c r="A6" s="2" t="str">
        <f>IF('Field Info'!A6="","",'Field Info'!A6)</f>
        <v/>
      </c>
      <c r="B6" s="180"/>
      <c r="C6" s="132"/>
      <c r="D6" s="132"/>
      <c r="E6" s="132"/>
      <c r="F6" s="132"/>
      <c r="G6" s="132"/>
      <c r="H6" s="132"/>
      <c r="I6" s="132"/>
      <c r="J6" s="132"/>
      <c r="K6" s="132"/>
      <c r="L6" s="132"/>
    </row>
    <row r="7" spans="1:12">
      <c r="A7" s="2" t="str">
        <f>IF('Field Info'!A7="","",'Field Info'!A7)</f>
        <v/>
      </c>
      <c r="B7" s="180"/>
      <c r="C7" s="132"/>
      <c r="D7" s="132"/>
      <c r="E7" s="132"/>
      <c r="F7" s="132"/>
      <c r="G7" s="132"/>
      <c r="H7" s="132"/>
      <c r="I7" s="132"/>
      <c r="J7" s="132"/>
      <c r="K7" s="132"/>
      <c r="L7" s="132"/>
    </row>
    <row r="8" spans="1:12">
      <c r="A8" s="2" t="str">
        <f>IF('Field Info'!A8="","",'Field Info'!A8)</f>
        <v/>
      </c>
      <c r="B8" s="180"/>
      <c r="C8" s="132"/>
      <c r="D8" s="132"/>
      <c r="E8" s="132"/>
      <c r="F8" s="132"/>
      <c r="G8" s="132"/>
      <c r="H8" s="132"/>
      <c r="I8" s="132"/>
      <c r="J8" s="132"/>
      <c r="K8" s="132"/>
      <c r="L8" s="132"/>
    </row>
    <row r="9" spans="1:12">
      <c r="A9" s="2" t="str">
        <f>IF('Field Info'!A9="","",'Field Info'!A9)</f>
        <v/>
      </c>
      <c r="B9" s="180"/>
      <c r="C9" s="132"/>
      <c r="D9" s="132"/>
      <c r="E9" s="132"/>
      <c r="F9" s="132"/>
      <c r="G9" s="132"/>
      <c r="H9" s="132"/>
      <c r="I9" s="132"/>
      <c r="J9" s="132"/>
      <c r="K9" s="132"/>
      <c r="L9" s="132"/>
    </row>
    <row r="10" spans="1:12">
      <c r="A10" s="2" t="str">
        <f>IF('Field Info'!A10="","",'Field Info'!A10)</f>
        <v/>
      </c>
      <c r="B10" s="180"/>
      <c r="C10" s="132"/>
      <c r="D10" s="132"/>
      <c r="E10" s="132"/>
      <c r="F10" s="132"/>
      <c r="G10" s="132"/>
      <c r="H10" s="132"/>
      <c r="I10" s="132"/>
      <c r="J10" s="132"/>
      <c r="K10" s="132"/>
      <c r="L10" s="132"/>
    </row>
    <row r="11" spans="1:12">
      <c r="A11" s="2" t="str">
        <f>IF('Field Info'!A11="","",'Field Info'!A11)</f>
        <v/>
      </c>
      <c r="B11" s="180"/>
      <c r="C11" s="132"/>
      <c r="D11" s="132"/>
      <c r="E11" s="132"/>
      <c r="F11" s="132"/>
      <c r="G11" s="132"/>
      <c r="H11" s="132"/>
      <c r="I11" s="132"/>
      <c r="J11" s="132"/>
      <c r="K11" s="132"/>
      <c r="L11" s="132"/>
    </row>
    <row r="12" spans="1:12">
      <c r="A12" s="2" t="str">
        <f>IF('Field Info'!A12="","",'Field Info'!A12)</f>
        <v/>
      </c>
      <c r="B12" s="180"/>
      <c r="C12" s="132"/>
      <c r="D12" s="132"/>
      <c r="E12" s="132"/>
      <c r="F12" s="132"/>
      <c r="G12" s="132"/>
      <c r="H12" s="132"/>
      <c r="I12" s="132"/>
      <c r="J12" s="132"/>
      <c r="K12" s="132"/>
      <c r="L12" s="132"/>
    </row>
    <row r="13" spans="1:12">
      <c r="A13" s="2" t="str">
        <f>IF('Field Info'!A13="","",'Field Info'!A13)</f>
        <v/>
      </c>
      <c r="B13" s="180"/>
      <c r="C13" s="132"/>
      <c r="D13" s="132"/>
      <c r="E13" s="132"/>
      <c r="F13" s="132"/>
      <c r="G13" s="132"/>
      <c r="H13" s="132"/>
      <c r="I13" s="132"/>
      <c r="J13" s="132"/>
      <c r="K13" s="132"/>
      <c r="L13" s="132"/>
    </row>
    <row r="14" spans="1:12">
      <c r="A14" s="2" t="str">
        <f>IF('Field Info'!A14="","",'Field Info'!A14)</f>
        <v/>
      </c>
      <c r="B14" s="180"/>
      <c r="C14" s="132"/>
      <c r="D14" s="132"/>
      <c r="E14" s="132"/>
      <c r="F14" s="132"/>
      <c r="G14" s="132"/>
      <c r="H14" s="132"/>
      <c r="I14" s="132"/>
      <c r="J14" s="132"/>
      <c r="K14" s="132"/>
      <c r="L14" s="132"/>
    </row>
    <row r="15" spans="1:12">
      <c r="A15" s="2" t="str">
        <f>IF('Field Info'!A15="","",'Field Info'!A15)</f>
        <v/>
      </c>
      <c r="B15" s="180"/>
      <c r="C15" s="132"/>
      <c r="D15" s="132"/>
      <c r="E15" s="132"/>
      <c r="F15" s="132"/>
      <c r="G15" s="132"/>
      <c r="H15" s="132"/>
      <c r="I15" s="132"/>
      <c r="J15" s="132"/>
      <c r="K15" s="132"/>
      <c r="L15" s="132"/>
    </row>
    <row r="16" spans="1:12">
      <c r="A16" s="2" t="str">
        <f>IF('Field Info'!A16="","",'Field Info'!A16)</f>
        <v/>
      </c>
      <c r="B16" s="180"/>
      <c r="C16" s="132"/>
      <c r="D16" s="132"/>
      <c r="E16" s="132"/>
      <c r="F16" s="132"/>
      <c r="G16" s="132"/>
      <c r="H16" s="132"/>
      <c r="I16" s="132"/>
      <c r="J16" s="132"/>
      <c r="K16" s="132"/>
      <c r="L16" s="132"/>
    </row>
    <row r="17" spans="1:12">
      <c r="A17" s="2" t="str">
        <f>IF('Field Info'!A17="","",'Field Info'!A17)</f>
        <v/>
      </c>
      <c r="B17" s="180"/>
      <c r="C17" s="132"/>
      <c r="D17" s="132"/>
      <c r="E17" s="132"/>
      <c r="F17" s="132"/>
      <c r="G17" s="132"/>
      <c r="H17" s="132"/>
      <c r="I17" s="132"/>
      <c r="J17" s="132"/>
      <c r="K17" s="132"/>
      <c r="L17" s="132"/>
    </row>
    <row r="18" spans="1:12">
      <c r="A18" s="2" t="str">
        <f>IF('Field Info'!A18="","",'Field Info'!A18)</f>
        <v/>
      </c>
      <c r="B18" s="180"/>
      <c r="C18" s="132"/>
      <c r="D18" s="132"/>
      <c r="E18" s="132"/>
      <c r="F18" s="132"/>
      <c r="G18" s="132"/>
      <c r="H18" s="132"/>
      <c r="I18" s="132"/>
      <c r="J18" s="132"/>
      <c r="K18" s="132"/>
      <c r="L18" s="132"/>
    </row>
    <row r="19" spans="1:12">
      <c r="A19" s="2" t="str">
        <f>IF('Field Info'!A19="","",'Field Info'!A19)</f>
        <v/>
      </c>
      <c r="B19" s="180"/>
      <c r="C19" s="132"/>
      <c r="D19" s="132"/>
      <c r="E19" s="132"/>
      <c r="F19" s="132"/>
      <c r="G19" s="132"/>
      <c r="H19" s="132"/>
      <c r="I19" s="132"/>
      <c r="J19" s="132"/>
      <c r="K19" s="132"/>
      <c r="L19" s="132"/>
    </row>
    <row r="20" spans="1:12">
      <c r="A20" s="2" t="str">
        <f>IF('Field Info'!A20="","",'Field Info'!A20)</f>
        <v/>
      </c>
      <c r="B20" s="132"/>
      <c r="C20" s="132"/>
      <c r="D20" s="132"/>
      <c r="E20" s="132"/>
      <c r="F20" s="132"/>
      <c r="G20" s="132"/>
      <c r="H20" s="132"/>
      <c r="I20" s="132"/>
      <c r="J20" s="132"/>
      <c r="K20" s="132"/>
      <c r="L20" s="132"/>
    </row>
    <row r="21" spans="1:12">
      <c r="A21" s="2" t="str">
        <f>IF('Field Info'!A21="","",'Field Info'!A21)</f>
        <v/>
      </c>
      <c r="B21" s="132"/>
      <c r="C21" s="132"/>
      <c r="D21" s="132"/>
      <c r="E21" s="132"/>
      <c r="F21" s="132"/>
      <c r="G21" s="132"/>
      <c r="H21" s="132"/>
      <c r="I21" s="132"/>
      <c r="J21" s="132"/>
      <c r="K21" s="132"/>
      <c r="L21" s="132"/>
    </row>
    <row r="22" spans="1:12">
      <c r="A22" s="2" t="str">
        <f>IF('Field Info'!A22="","",'Field Info'!A22)</f>
        <v/>
      </c>
      <c r="B22" s="180"/>
      <c r="C22" s="132"/>
      <c r="D22" s="132"/>
      <c r="E22" s="132"/>
      <c r="F22" s="132"/>
      <c r="G22" s="132"/>
      <c r="H22" s="132"/>
      <c r="I22" s="132"/>
      <c r="J22" s="132"/>
      <c r="K22" s="132"/>
      <c r="L22" s="132"/>
    </row>
    <row r="23" spans="1:12">
      <c r="A23" s="2" t="str">
        <f>IF('Field Info'!A23="","",'Field Info'!A23)</f>
        <v/>
      </c>
      <c r="B23" s="181"/>
      <c r="C23" s="182"/>
      <c r="D23" s="182"/>
      <c r="E23" s="182"/>
      <c r="F23" s="182"/>
      <c r="G23" s="182"/>
      <c r="H23" s="182"/>
      <c r="I23" s="182"/>
      <c r="J23" s="182"/>
      <c r="K23" s="182"/>
      <c r="L23" s="182"/>
    </row>
    <row r="24" spans="1:12" hidden="1">
      <c r="B24" s="103"/>
      <c r="C24" s="103"/>
      <c r="D24" s="103"/>
      <c r="E24" s="103"/>
      <c r="F24" s="103"/>
      <c r="G24" s="103"/>
      <c r="H24" s="103"/>
      <c r="I24" s="103"/>
      <c r="J24" s="103"/>
      <c r="K24" s="103"/>
      <c r="L24" s="103"/>
    </row>
    <row r="25" spans="1:12" hidden="1">
      <c r="B25" s="12"/>
      <c r="C25" s="12"/>
      <c r="D25" s="12"/>
      <c r="E25" s="12"/>
      <c r="F25" s="12"/>
      <c r="G25" s="12"/>
      <c r="H25" s="12"/>
      <c r="I25" s="12"/>
      <c r="J25" s="12"/>
      <c r="K25" s="12"/>
      <c r="L25" s="12"/>
    </row>
    <row r="26" spans="1:12" hidden="1">
      <c r="B26" s="12"/>
      <c r="C26" s="12"/>
      <c r="D26" s="12"/>
      <c r="E26" s="12"/>
      <c r="F26" s="12"/>
      <c r="G26" s="12"/>
      <c r="H26" s="12"/>
      <c r="I26" s="12"/>
      <c r="J26" s="12"/>
      <c r="K26" s="12"/>
      <c r="L26" s="12"/>
    </row>
    <row r="27" spans="1:12" hidden="1">
      <c r="B27" s="12"/>
      <c r="C27" s="12"/>
      <c r="D27" s="12"/>
      <c r="E27" s="12"/>
      <c r="F27" s="12"/>
      <c r="G27" s="12"/>
      <c r="H27" s="12"/>
      <c r="I27" s="12"/>
      <c r="J27" s="12"/>
      <c r="K27" s="12"/>
      <c r="L27" s="12"/>
    </row>
    <row r="28" spans="1:12" hidden="1">
      <c r="B28" s="12"/>
      <c r="C28" s="12"/>
      <c r="D28" s="12"/>
      <c r="E28" s="12"/>
      <c r="F28" s="12"/>
      <c r="G28" s="12"/>
      <c r="H28" s="12"/>
      <c r="I28" s="12"/>
      <c r="J28" s="12"/>
      <c r="K28" s="12"/>
      <c r="L28" s="12"/>
    </row>
    <row r="29" spans="1:12" hidden="1">
      <c r="B29" s="12"/>
      <c r="C29" s="12"/>
      <c r="D29" s="12"/>
      <c r="E29" s="12"/>
      <c r="F29" s="12"/>
      <c r="G29" s="12"/>
      <c r="H29" s="12"/>
      <c r="I29" s="12"/>
      <c r="J29" s="12"/>
      <c r="K29" s="12"/>
      <c r="L29" s="12"/>
    </row>
    <row r="30" spans="1:12" hidden="1">
      <c r="B30" s="12"/>
      <c r="C30" s="12"/>
      <c r="D30" s="12"/>
      <c r="E30" s="12"/>
      <c r="F30" s="12"/>
      <c r="G30" s="12"/>
      <c r="H30" s="12"/>
      <c r="I30" s="12"/>
      <c r="J30" s="12"/>
      <c r="K30" s="12"/>
      <c r="L30" s="12"/>
    </row>
    <row r="31" spans="1:12" hidden="1">
      <c r="B31" s="12"/>
      <c r="C31" s="12"/>
      <c r="D31" s="12"/>
      <c r="E31" s="12"/>
      <c r="F31" s="12"/>
      <c r="G31" s="12"/>
      <c r="H31" s="12"/>
      <c r="I31" s="12"/>
      <c r="J31" s="12"/>
      <c r="K31" s="12"/>
      <c r="L31" s="12"/>
    </row>
  </sheetData>
  <mergeCells count="1">
    <mergeCell ref="B1:L1"/>
  </mergeCells>
  <phoneticPr fontId="13" type="noConversion"/>
  <pageMargins left="0.7" right="0.7" top="1" bottom="0.75" header="0.3" footer="0.3"/>
  <pageSetup orientation="landscape" verticalDpi="0" r:id="rId1"/>
  <headerFooter>
    <oddHeader>&amp;L&amp;D&amp;CVegetable Nutrient Management Planning Workbook&amp;R&amp;G</oddHeader>
  </headerFooter>
  <legacyDrawingHF r:id="rId2"/>
</worksheet>
</file>

<file path=xl/worksheets/sheet8.xml><?xml version="1.0" encoding="utf-8"?>
<worksheet xmlns="http://schemas.openxmlformats.org/spreadsheetml/2006/main" xmlns:r="http://schemas.openxmlformats.org/officeDocument/2006/relationships">
  <sheetPr codeName="Sheet8">
    <tabColor theme="5" tint="0.39997558519241921"/>
  </sheetPr>
  <dimension ref="A1:M31"/>
  <sheetViews>
    <sheetView showGridLines="0" showRowColHeaders="0" workbookViewId="0">
      <selection activeCell="D2" sqref="D2"/>
    </sheetView>
  </sheetViews>
  <sheetFormatPr defaultColWidth="0" defaultRowHeight="15" zeroHeight="1"/>
  <cols>
    <col min="1" max="1" width="17.140625" customWidth="1"/>
    <col min="2" max="6" width="9.140625" customWidth="1"/>
    <col min="7" max="7" width="10.28515625" style="29" customWidth="1"/>
    <col min="8" max="10" width="0" hidden="1" customWidth="1"/>
    <col min="11" max="12" width="9.140625" hidden="1" customWidth="1"/>
    <col min="13" max="13" width="5.7109375" hidden="1" customWidth="1"/>
  </cols>
  <sheetData>
    <row r="1" spans="1:12" ht="15.75" thickBot="1">
      <c r="A1" s="1" t="s">
        <v>65</v>
      </c>
      <c r="G1"/>
    </row>
    <row r="2" spans="1:12">
      <c r="B2" s="699" t="s">
        <v>90</v>
      </c>
      <c r="C2" s="700"/>
      <c r="D2" s="143"/>
      <c r="E2" s="62"/>
      <c r="F2" s="62"/>
      <c r="G2" s="63"/>
      <c r="L2" t="s">
        <v>19</v>
      </c>
    </row>
    <row r="3" spans="1:12" ht="15.75" thickBot="1">
      <c r="A3" s="17" t="s">
        <v>10</v>
      </c>
      <c r="B3" s="31" t="s">
        <v>8</v>
      </c>
      <c r="C3" s="32" t="s">
        <v>2</v>
      </c>
      <c r="D3" s="32" t="s">
        <v>3</v>
      </c>
      <c r="E3" s="32" t="s">
        <v>5</v>
      </c>
      <c r="F3" s="102" t="s">
        <v>4</v>
      </c>
      <c r="G3" s="33" t="s">
        <v>70</v>
      </c>
      <c r="L3" t="s">
        <v>20</v>
      </c>
    </row>
    <row r="4" spans="1:12">
      <c r="A4" s="18" t="str">
        <f>IF('Field Info'!A4="","",'Field Info'!A4)</f>
        <v/>
      </c>
      <c r="B4" s="134"/>
      <c r="C4" s="381" t="str">
        <f>'VT P Index'!N584</f>
        <v>low</v>
      </c>
      <c r="D4" s="135"/>
      <c r="E4" s="135"/>
      <c r="F4" s="136"/>
      <c r="G4" s="137"/>
      <c r="L4" t="s">
        <v>21</v>
      </c>
    </row>
    <row r="5" spans="1:12">
      <c r="A5" s="18" t="str">
        <f>IF('Field Info'!A5="","",'Field Info'!A5)</f>
        <v/>
      </c>
      <c r="B5" s="138"/>
      <c r="C5" s="382" t="str">
        <f>'VT P Index'!N585</f>
        <v>low</v>
      </c>
      <c r="D5" s="139"/>
      <c r="E5" s="139"/>
      <c r="F5" s="140"/>
      <c r="G5" s="141"/>
      <c r="L5" t="s">
        <v>223</v>
      </c>
    </row>
    <row r="6" spans="1:12">
      <c r="A6" s="18" t="str">
        <f>IF('Field Info'!A6="","",'Field Info'!A6)</f>
        <v/>
      </c>
      <c r="B6" s="138"/>
      <c r="C6" s="382" t="str">
        <f>'VT P Index'!N586</f>
        <v>low</v>
      </c>
      <c r="D6" s="139"/>
      <c r="E6" s="139"/>
      <c r="F6" s="140"/>
      <c r="G6" s="141"/>
      <c r="L6" t="s">
        <v>22</v>
      </c>
    </row>
    <row r="7" spans="1:12" ht="15.75" thickBot="1">
      <c r="A7" s="375" t="str">
        <f>IF('Field Info'!A7="","",'Field Info'!A7)</f>
        <v/>
      </c>
      <c r="B7" s="371"/>
      <c r="C7" s="383" t="str">
        <f>'VT P Index'!N587</f>
        <v>low</v>
      </c>
      <c r="D7" s="372"/>
      <c r="E7" s="372"/>
      <c r="F7" s="373"/>
      <c r="G7" s="374"/>
    </row>
    <row r="8" spans="1:12">
      <c r="A8" s="18" t="str">
        <f>IF('Field Info'!A8="","",'Field Info'!A8)</f>
        <v/>
      </c>
      <c r="B8" s="368"/>
      <c r="C8" s="380" t="str">
        <f>'VT P Index'!N588</f>
        <v>low</v>
      </c>
      <c r="D8" s="369"/>
      <c r="E8" s="369"/>
      <c r="F8" s="142"/>
      <c r="G8" s="370"/>
    </row>
    <row r="9" spans="1:12">
      <c r="A9" s="18" t="str">
        <f>IF('Field Info'!A9="","",'Field Info'!A9)</f>
        <v/>
      </c>
      <c r="B9" s="138"/>
      <c r="C9" s="382" t="str">
        <f>'VT P Index'!N589</f>
        <v>low</v>
      </c>
      <c r="D9" s="139"/>
      <c r="E9" s="139"/>
      <c r="F9" s="140"/>
      <c r="G9" s="141"/>
    </row>
    <row r="10" spans="1:12">
      <c r="A10" s="18" t="str">
        <f>IF('Field Info'!A10="","",'Field Info'!A10)</f>
        <v/>
      </c>
      <c r="B10" s="138"/>
      <c r="C10" s="382" t="str">
        <f>'VT P Index'!N590</f>
        <v>low</v>
      </c>
      <c r="D10" s="139"/>
      <c r="E10" s="139"/>
      <c r="F10" s="140"/>
      <c r="G10" s="141"/>
    </row>
    <row r="11" spans="1:12" ht="15.75" thickBot="1">
      <c r="A11" s="375" t="str">
        <f>IF('Field Info'!A11="","",'Field Info'!A11)</f>
        <v/>
      </c>
      <c r="B11" s="371"/>
      <c r="C11" s="383" t="str">
        <f>'VT P Index'!N591</f>
        <v>low</v>
      </c>
      <c r="D11" s="372"/>
      <c r="E11" s="372"/>
      <c r="F11" s="373"/>
      <c r="G11" s="374"/>
    </row>
    <row r="12" spans="1:12">
      <c r="A12" s="18" t="str">
        <f>IF('Field Info'!A12="","",'Field Info'!A12)</f>
        <v/>
      </c>
      <c r="B12" s="368"/>
      <c r="C12" s="380" t="str">
        <f>'VT P Index'!N592</f>
        <v>low</v>
      </c>
      <c r="D12" s="369"/>
      <c r="E12" s="369"/>
      <c r="F12" s="142"/>
      <c r="G12" s="370"/>
    </row>
    <row r="13" spans="1:12">
      <c r="A13" s="18" t="str">
        <f>IF('Field Info'!A13="","",'Field Info'!A13)</f>
        <v/>
      </c>
      <c r="B13" s="138"/>
      <c r="C13" s="382" t="str">
        <f>'VT P Index'!N593</f>
        <v>low</v>
      </c>
      <c r="D13" s="139"/>
      <c r="E13" s="139"/>
      <c r="F13" s="140"/>
      <c r="G13" s="141"/>
    </row>
    <row r="14" spans="1:12">
      <c r="A14" s="18" t="str">
        <f>IF('Field Info'!A14="","",'Field Info'!A14)</f>
        <v/>
      </c>
      <c r="B14" s="138"/>
      <c r="C14" s="382" t="str">
        <f>'VT P Index'!N594</f>
        <v>low</v>
      </c>
      <c r="D14" s="139"/>
      <c r="E14" s="139"/>
      <c r="F14" s="140"/>
      <c r="G14" s="141"/>
    </row>
    <row r="15" spans="1:12" ht="15.75" thickBot="1">
      <c r="A15" s="376" t="str">
        <f>IF('Field Info'!A15="","",'Field Info'!A15)</f>
        <v/>
      </c>
      <c r="B15" s="371"/>
      <c r="C15" s="383" t="str">
        <f>'VT P Index'!N595</f>
        <v>low</v>
      </c>
      <c r="D15" s="372"/>
      <c r="E15" s="372"/>
      <c r="F15" s="373"/>
      <c r="G15" s="374"/>
    </row>
    <row r="16" spans="1:12">
      <c r="A16" s="18" t="str">
        <f>IF('Field Info'!A16="","",'Field Info'!A16)</f>
        <v/>
      </c>
      <c r="B16" s="368"/>
      <c r="C16" s="380" t="str">
        <f>'VT P Index'!N596</f>
        <v>low</v>
      </c>
      <c r="D16" s="369"/>
      <c r="E16" s="369"/>
      <c r="F16" s="142"/>
      <c r="G16" s="370"/>
    </row>
    <row r="17" spans="1:7">
      <c r="A17" s="18" t="str">
        <f>IF('Field Info'!A17="","",'Field Info'!A17)</f>
        <v/>
      </c>
      <c r="B17" s="138"/>
      <c r="C17" s="382" t="str">
        <f>'VT P Index'!N597</f>
        <v>low</v>
      </c>
      <c r="D17" s="139"/>
      <c r="E17" s="139"/>
      <c r="F17" s="140"/>
      <c r="G17" s="141"/>
    </row>
    <row r="18" spans="1:7">
      <c r="A18" s="18" t="str">
        <f>IF('Field Info'!A18="","",'Field Info'!A18)</f>
        <v/>
      </c>
      <c r="B18" s="138"/>
      <c r="C18" s="382" t="str">
        <f>'VT P Index'!N598</f>
        <v>low</v>
      </c>
      <c r="D18" s="139"/>
      <c r="E18" s="139"/>
      <c r="F18" s="140"/>
      <c r="G18" s="141"/>
    </row>
    <row r="19" spans="1:7" ht="15.75" thickBot="1">
      <c r="A19" s="376" t="str">
        <f>IF('Field Info'!A19="","",'Field Info'!A19)</f>
        <v/>
      </c>
      <c r="B19" s="371"/>
      <c r="C19" s="383" t="str">
        <f>'VT P Index'!N599</f>
        <v>low</v>
      </c>
      <c r="D19" s="372"/>
      <c r="E19" s="372"/>
      <c r="F19" s="373"/>
      <c r="G19" s="374"/>
    </row>
    <row r="20" spans="1:7">
      <c r="A20" s="18" t="str">
        <f>IF('Field Info'!A20="","",'Field Info'!A20)</f>
        <v/>
      </c>
      <c r="B20" s="368"/>
      <c r="C20" s="380" t="str">
        <f>'VT P Index'!N600</f>
        <v>low</v>
      </c>
      <c r="D20" s="369"/>
      <c r="E20" s="369"/>
      <c r="F20" s="142"/>
      <c r="G20" s="370"/>
    </row>
    <row r="21" spans="1:7">
      <c r="A21" s="18" t="str">
        <f>IF('Field Info'!A21="","",'Field Info'!A21)</f>
        <v/>
      </c>
      <c r="B21" s="138"/>
      <c r="C21" s="382" t="str">
        <f>'VT P Index'!N601</f>
        <v>low</v>
      </c>
      <c r="D21" s="139"/>
      <c r="E21" s="139"/>
      <c r="F21" s="140"/>
      <c r="G21" s="141"/>
    </row>
    <row r="22" spans="1:7">
      <c r="A22" s="18" t="str">
        <f>IF('Field Info'!A22="","",'Field Info'!A22)</f>
        <v/>
      </c>
      <c r="B22" s="138"/>
      <c r="C22" s="382" t="str">
        <f>'VT P Index'!N602</f>
        <v>low</v>
      </c>
      <c r="D22" s="139"/>
      <c r="E22" s="139"/>
      <c r="F22" s="140"/>
      <c r="G22" s="141"/>
    </row>
    <row r="23" spans="1:7" ht="15.75" thickBot="1">
      <c r="A23" s="376" t="str">
        <f>IF('Field Info'!A23="","",'Field Info'!A23)</f>
        <v/>
      </c>
      <c r="B23" s="371"/>
      <c r="C23" s="383" t="str">
        <f>'VT P Index'!N603</f>
        <v>low</v>
      </c>
      <c r="D23" s="372"/>
      <c r="E23" s="372"/>
      <c r="F23" s="373"/>
      <c r="G23" s="374"/>
    </row>
    <row r="24" spans="1:7" hidden="1">
      <c r="A24" s="99"/>
      <c r="B24" s="100"/>
      <c r="C24" s="101"/>
      <c r="D24" s="101"/>
      <c r="E24" s="101"/>
      <c r="F24" s="100"/>
      <c r="G24"/>
    </row>
    <row r="25" spans="1:7" hidden="1">
      <c r="A25" s="99"/>
      <c r="B25" s="100"/>
      <c r="C25" s="101"/>
      <c r="D25" s="101"/>
      <c r="E25" s="101"/>
      <c r="F25" s="100"/>
      <c r="G25"/>
    </row>
    <row r="26" spans="1:7" hidden="1">
      <c r="A26" s="99"/>
      <c r="B26" s="100"/>
      <c r="C26" s="101"/>
      <c r="D26" s="101"/>
      <c r="E26" s="101"/>
      <c r="F26" s="100"/>
      <c r="G26"/>
    </row>
    <row r="27" spans="1:7" hidden="1">
      <c r="A27" s="99"/>
      <c r="B27" s="100"/>
      <c r="C27" s="101"/>
      <c r="D27" s="101"/>
      <c r="E27" s="101"/>
      <c r="F27" s="100"/>
      <c r="G27"/>
    </row>
    <row r="28" spans="1:7" hidden="1">
      <c r="A28" s="99"/>
      <c r="B28" s="100"/>
      <c r="C28" s="101"/>
      <c r="D28" s="101"/>
      <c r="E28" s="101"/>
      <c r="F28" s="100"/>
      <c r="G28"/>
    </row>
    <row r="29" spans="1:7" hidden="1">
      <c r="A29" s="99"/>
      <c r="B29" s="100"/>
      <c r="C29" s="101"/>
      <c r="D29" s="101"/>
      <c r="E29" s="101"/>
      <c r="F29" s="100"/>
      <c r="G29"/>
    </row>
    <row r="30" spans="1:7" hidden="1">
      <c r="A30" s="99"/>
      <c r="B30" s="100"/>
      <c r="C30" s="101"/>
      <c r="D30" s="101"/>
      <c r="E30" s="101"/>
      <c r="F30" s="100"/>
      <c r="G30"/>
    </row>
    <row r="31" spans="1:7" hidden="1">
      <c r="A31" s="29"/>
      <c r="B31" s="29"/>
      <c r="C31" s="29"/>
      <c r="D31" s="29"/>
      <c r="E31" s="29"/>
      <c r="F31" s="29"/>
    </row>
  </sheetData>
  <sheetProtection sheet="1" selectLockedCells="1"/>
  <mergeCells count="1">
    <mergeCell ref="B2:C2"/>
  </mergeCells>
  <phoneticPr fontId="13" type="noConversion"/>
  <dataValidations count="1">
    <dataValidation type="list" allowBlank="1" showInputMessage="1" showErrorMessage="1" sqref="C4:E30">
      <formula1>$L$2:$L$6</formula1>
    </dataValidation>
  </dataValidations>
  <pageMargins left="0.7" right="0.7" top="1" bottom="0.75" header="0.3" footer="0.3"/>
  <pageSetup scale="125" orientation="landscape" r:id="rId1"/>
  <headerFooter>
    <oddHeader>&amp;L&amp;D&amp;CVegetable Nutrient Management Planning Workbook&amp;R&amp;G</oddHeader>
  </headerFooter>
  <legacyDrawingHF r:id="rId2"/>
</worksheet>
</file>

<file path=xl/worksheets/sheet9.xml><?xml version="1.0" encoding="utf-8"?>
<worksheet xmlns="http://schemas.openxmlformats.org/spreadsheetml/2006/main" xmlns:r="http://schemas.openxmlformats.org/officeDocument/2006/relationships">
  <sheetPr codeName="Sheet6"/>
  <dimension ref="A1:Y603"/>
  <sheetViews>
    <sheetView zoomScale="85" workbookViewId="0">
      <pane xSplit="5" ySplit="8" topLeftCell="F9" activePane="bottomRight" state="frozen"/>
      <selection pane="topRight" activeCell="F1" sqref="F1"/>
      <selection pane="bottomLeft" activeCell="A8" sqref="A8"/>
      <selection pane="bottomRight" activeCell="F11" sqref="F11"/>
    </sheetView>
  </sheetViews>
  <sheetFormatPr defaultColWidth="0" defaultRowHeight="12.75"/>
  <cols>
    <col min="1" max="1" width="5.140625" style="215" customWidth="1"/>
    <col min="2" max="2" width="33.7109375" style="215" hidden="1" customWidth="1"/>
    <col min="3" max="4" width="9.140625" style="215" hidden="1" customWidth="1"/>
    <col min="5" max="5" width="29.28515625" style="215" customWidth="1"/>
    <col min="6" max="25" width="26.28515625" style="215" customWidth="1"/>
    <col min="26" max="16384" width="0" style="215" hidden="1"/>
  </cols>
  <sheetData>
    <row r="1" spans="1:25" s="259" customFormat="1" ht="13.5" thickBot="1">
      <c r="A1" s="362" t="s">
        <v>687</v>
      </c>
      <c r="B1" s="222"/>
      <c r="C1" s="222"/>
      <c r="D1" s="222"/>
      <c r="E1" s="222"/>
      <c r="F1" s="415"/>
      <c r="G1" s="416"/>
      <c r="H1" s="416"/>
      <c r="I1" s="416"/>
      <c r="J1" s="415"/>
      <c r="K1" s="416"/>
      <c r="L1" s="416"/>
      <c r="M1" s="416"/>
      <c r="N1" s="416"/>
      <c r="O1" s="416"/>
      <c r="P1" s="416"/>
      <c r="Q1" s="416"/>
      <c r="R1" s="416"/>
      <c r="S1" s="416"/>
      <c r="T1" s="416"/>
      <c r="U1" s="416"/>
      <c r="V1" s="416"/>
      <c r="W1" s="416"/>
      <c r="X1" s="416"/>
      <c r="Y1" s="416"/>
    </row>
    <row r="2" spans="1:25" s="259" customFormat="1" ht="26.25" customHeight="1" thickBot="1">
      <c r="A2" s="360"/>
      <c r="B2" s="222"/>
      <c r="C2" s="222"/>
      <c r="D2" s="222"/>
      <c r="E2" s="417" t="s">
        <v>686</v>
      </c>
      <c r="F2" s="361" t="str">
        <f t="shared" ref="F2:Y2" si="0">IF(F122&lt;&gt;0,F122,IF(F123&lt;&gt;0,F123,IF(F124&lt;&gt;0,F124,IF(F125&lt;&gt;0,F125,IF(F126&lt;&gt;0,F126,IF(F127&lt;&gt;0,F127,IF(F128&lt;&gt;0,F128,IF(F129&lt;&gt;0,F129,""))))))))</f>
        <v/>
      </c>
      <c r="G2" s="361" t="str">
        <f t="shared" si="0"/>
        <v/>
      </c>
      <c r="H2" s="361" t="str">
        <f t="shared" si="0"/>
        <v/>
      </c>
      <c r="I2" s="361" t="str">
        <f t="shared" si="0"/>
        <v/>
      </c>
      <c r="J2" s="361" t="str">
        <f t="shared" si="0"/>
        <v/>
      </c>
      <c r="K2" s="361" t="str">
        <f t="shared" si="0"/>
        <v/>
      </c>
      <c r="L2" s="361" t="str">
        <f t="shared" si="0"/>
        <v/>
      </c>
      <c r="M2" s="361" t="str">
        <f t="shared" si="0"/>
        <v/>
      </c>
      <c r="N2" s="361" t="str">
        <f t="shared" si="0"/>
        <v/>
      </c>
      <c r="O2" s="361" t="str">
        <f t="shared" si="0"/>
        <v/>
      </c>
      <c r="P2" s="361" t="str">
        <f t="shared" si="0"/>
        <v/>
      </c>
      <c r="Q2" s="361" t="str">
        <f t="shared" si="0"/>
        <v/>
      </c>
      <c r="R2" s="361" t="str">
        <f t="shared" si="0"/>
        <v/>
      </c>
      <c r="S2" s="361" t="str">
        <f t="shared" si="0"/>
        <v/>
      </c>
      <c r="T2" s="361" t="str">
        <f t="shared" si="0"/>
        <v/>
      </c>
      <c r="U2" s="361" t="str">
        <f t="shared" si="0"/>
        <v/>
      </c>
      <c r="V2" s="361" t="str">
        <f t="shared" si="0"/>
        <v/>
      </c>
      <c r="W2" s="361" t="str">
        <f t="shared" si="0"/>
        <v/>
      </c>
      <c r="X2" s="361" t="str">
        <f t="shared" si="0"/>
        <v/>
      </c>
      <c r="Y2" s="361" t="str">
        <f t="shared" si="0"/>
        <v/>
      </c>
    </row>
    <row r="3" spans="1:25" s="259" customFormat="1" ht="25.5" customHeight="1" thickBot="1">
      <c r="A3" s="360"/>
      <c r="B3" s="359" t="s">
        <v>685</v>
      </c>
      <c r="C3" s="289"/>
      <c r="D3" s="222"/>
      <c r="E3" s="417" t="s">
        <v>769</v>
      </c>
      <c r="F3" s="418" t="str">
        <f t="shared" ref="F3:U4" si="1">F571</f>
        <v/>
      </c>
      <c r="G3" s="418" t="str">
        <f t="shared" si="1"/>
        <v/>
      </c>
      <c r="H3" s="419" t="str">
        <f t="shared" si="1"/>
        <v/>
      </c>
      <c r="I3" s="419" t="str">
        <f t="shared" si="1"/>
        <v/>
      </c>
      <c r="J3" s="419" t="str">
        <f t="shared" si="1"/>
        <v/>
      </c>
      <c r="K3" s="419" t="str">
        <f t="shared" si="1"/>
        <v/>
      </c>
      <c r="L3" s="419" t="str">
        <f t="shared" si="1"/>
        <v/>
      </c>
      <c r="M3" s="419" t="str">
        <f t="shared" si="1"/>
        <v/>
      </c>
      <c r="N3" s="419" t="str">
        <f t="shared" si="1"/>
        <v/>
      </c>
      <c r="O3" s="419" t="str">
        <f t="shared" si="1"/>
        <v/>
      </c>
      <c r="P3" s="419" t="str">
        <f t="shared" si="1"/>
        <v/>
      </c>
      <c r="Q3" s="419" t="str">
        <f t="shared" si="1"/>
        <v/>
      </c>
      <c r="R3" s="419" t="str">
        <f t="shared" si="1"/>
        <v/>
      </c>
      <c r="S3" s="419" t="str">
        <f t="shared" si="1"/>
        <v/>
      </c>
      <c r="T3" s="419" t="str">
        <f t="shared" si="1"/>
        <v/>
      </c>
      <c r="U3" s="419" t="str">
        <f t="shared" si="1"/>
        <v/>
      </c>
      <c r="V3" s="419" t="str">
        <f t="shared" ref="G3:Y4" si="2">V571</f>
        <v/>
      </c>
      <c r="W3" s="419" t="str">
        <f t="shared" si="2"/>
        <v/>
      </c>
      <c r="X3" s="419" t="str">
        <f t="shared" si="2"/>
        <v/>
      </c>
      <c r="Y3" s="419" t="str">
        <f t="shared" si="2"/>
        <v/>
      </c>
    </row>
    <row r="4" spans="1:25" s="259" customFormat="1" ht="15.75" customHeight="1" thickBot="1">
      <c r="A4" s="282"/>
      <c r="B4" s="366"/>
      <c r="C4" s="242"/>
      <c r="D4" s="222"/>
      <c r="E4" s="417" t="s">
        <v>700</v>
      </c>
      <c r="F4" s="420" t="str">
        <f t="shared" si="1"/>
        <v/>
      </c>
      <c r="G4" s="420" t="str">
        <f t="shared" si="2"/>
        <v/>
      </c>
      <c r="H4" s="421" t="str">
        <f t="shared" si="2"/>
        <v/>
      </c>
      <c r="I4" s="421" t="str">
        <f t="shared" si="2"/>
        <v/>
      </c>
      <c r="J4" s="421" t="str">
        <f t="shared" si="2"/>
        <v/>
      </c>
      <c r="K4" s="421" t="str">
        <f t="shared" si="2"/>
        <v/>
      </c>
      <c r="L4" s="421" t="str">
        <f t="shared" si="2"/>
        <v/>
      </c>
      <c r="M4" s="421" t="str">
        <f t="shared" si="2"/>
        <v/>
      </c>
      <c r="N4" s="421" t="str">
        <f t="shared" si="2"/>
        <v/>
      </c>
      <c r="O4" s="421" t="str">
        <f t="shared" si="2"/>
        <v/>
      </c>
      <c r="P4" s="421" t="str">
        <f t="shared" si="2"/>
        <v/>
      </c>
      <c r="Q4" s="421" t="str">
        <f t="shared" si="2"/>
        <v/>
      </c>
      <c r="R4" s="421" t="str">
        <f t="shared" si="2"/>
        <v/>
      </c>
      <c r="S4" s="421" t="str">
        <f t="shared" si="2"/>
        <v/>
      </c>
      <c r="T4" s="421" t="str">
        <f t="shared" si="2"/>
        <v/>
      </c>
      <c r="U4" s="421" t="str">
        <f t="shared" si="2"/>
        <v/>
      </c>
      <c r="V4" s="421" t="str">
        <f t="shared" si="2"/>
        <v/>
      </c>
      <c r="W4" s="421" t="str">
        <f t="shared" si="2"/>
        <v/>
      </c>
      <c r="X4" s="421" t="str">
        <f t="shared" si="2"/>
        <v/>
      </c>
      <c r="Y4" s="421" t="str">
        <f t="shared" si="2"/>
        <v/>
      </c>
    </row>
    <row r="5" spans="1:25" s="259" customFormat="1" ht="13.5" thickBot="1">
      <c r="A5" s="358"/>
      <c r="B5" s="357" t="s">
        <v>684</v>
      </c>
      <c r="C5" s="356">
        <v>80</v>
      </c>
      <c r="D5" s="222"/>
      <c r="E5" s="355" t="s">
        <v>683</v>
      </c>
      <c r="F5" s="354">
        <f t="shared" ref="F5:Y5" si="3">F7+F8</f>
        <v>0.8390836439999998</v>
      </c>
      <c r="G5" s="354">
        <f t="shared" si="3"/>
        <v>0.8390836439999998</v>
      </c>
      <c r="H5" s="354">
        <f t="shared" si="3"/>
        <v>0.8390836439999998</v>
      </c>
      <c r="I5" s="354">
        <f t="shared" si="3"/>
        <v>0.8390836439999998</v>
      </c>
      <c r="J5" s="354">
        <f t="shared" si="3"/>
        <v>0.8390836439999998</v>
      </c>
      <c r="K5" s="354">
        <f t="shared" si="3"/>
        <v>0.8390836439999998</v>
      </c>
      <c r="L5" s="354">
        <f t="shared" si="3"/>
        <v>0.8390836439999998</v>
      </c>
      <c r="M5" s="354">
        <f t="shared" si="3"/>
        <v>0.8390836439999998</v>
      </c>
      <c r="N5" s="354">
        <f t="shared" si="3"/>
        <v>0.8390836439999998</v>
      </c>
      <c r="O5" s="354">
        <f t="shared" si="3"/>
        <v>0.8390836439999998</v>
      </c>
      <c r="P5" s="354">
        <f t="shared" si="3"/>
        <v>0.8390836439999998</v>
      </c>
      <c r="Q5" s="354">
        <f t="shared" si="3"/>
        <v>0.8390836439999998</v>
      </c>
      <c r="R5" s="354">
        <f t="shared" si="3"/>
        <v>0.8390836439999998</v>
      </c>
      <c r="S5" s="354">
        <f t="shared" si="3"/>
        <v>0.8390836439999998</v>
      </c>
      <c r="T5" s="354">
        <f t="shared" si="3"/>
        <v>0.8390836439999998</v>
      </c>
      <c r="U5" s="354">
        <f t="shared" si="3"/>
        <v>0.8390836439999998</v>
      </c>
      <c r="V5" s="354">
        <f t="shared" si="3"/>
        <v>0.8390836439999998</v>
      </c>
      <c r="W5" s="354">
        <f t="shared" si="3"/>
        <v>0.8390836439999998</v>
      </c>
      <c r="X5" s="354">
        <f t="shared" si="3"/>
        <v>0.8390836439999998</v>
      </c>
      <c r="Y5" s="354">
        <f t="shared" si="3"/>
        <v>0.8390836439999998</v>
      </c>
    </row>
    <row r="6" spans="1:25" s="259" customFormat="1" ht="13.5" thickBot="1">
      <c r="A6" s="358"/>
      <c r="B6" s="357" t="s">
        <v>682</v>
      </c>
      <c r="C6" s="356">
        <v>80</v>
      </c>
      <c r="D6" s="222"/>
      <c r="E6" s="355" t="s">
        <v>681</v>
      </c>
      <c r="F6" s="354" t="str">
        <f t="shared" ref="F6:Y6" si="4">IF(F5&lt;$C$18+0.5,$B$16,IF(F5&lt;$C$19+0.5,$B$18,IF(F5&lt;$C$20+0.5,$B$19,$B$20)))</f>
        <v>Low</v>
      </c>
      <c r="G6" s="354" t="str">
        <f t="shared" si="4"/>
        <v>Low</v>
      </c>
      <c r="H6" s="354" t="str">
        <f t="shared" si="4"/>
        <v>Low</v>
      </c>
      <c r="I6" s="354" t="str">
        <f t="shared" si="4"/>
        <v>Low</v>
      </c>
      <c r="J6" s="354" t="str">
        <f t="shared" si="4"/>
        <v>Low</v>
      </c>
      <c r="K6" s="354" t="str">
        <f t="shared" si="4"/>
        <v>Low</v>
      </c>
      <c r="L6" s="354" t="str">
        <f t="shared" si="4"/>
        <v>Low</v>
      </c>
      <c r="M6" s="354" t="str">
        <f t="shared" si="4"/>
        <v>Low</v>
      </c>
      <c r="N6" s="354" t="str">
        <f t="shared" si="4"/>
        <v>Low</v>
      </c>
      <c r="O6" s="354" t="str">
        <f t="shared" si="4"/>
        <v>Low</v>
      </c>
      <c r="P6" s="354" t="str">
        <f t="shared" si="4"/>
        <v>Low</v>
      </c>
      <c r="Q6" s="354" t="str">
        <f t="shared" si="4"/>
        <v>Low</v>
      </c>
      <c r="R6" s="354" t="str">
        <f t="shared" si="4"/>
        <v>Low</v>
      </c>
      <c r="S6" s="354" t="str">
        <f t="shared" si="4"/>
        <v>Low</v>
      </c>
      <c r="T6" s="354" t="str">
        <f t="shared" si="4"/>
        <v>Low</v>
      </c>
      <c r="U6" s="354" t="str">
        <f t="shared" si="4"/>
        <v>Low</v>
      </c>
      <c r="V6" s="354" t="str">
        <f t="shared" si="4"/>
        <v>Low</v>
      </c>
      <c r="W6" s="354" t="str">
        <f t="shared" si="4"/>
        <v>Low</v>
      </c>
      <c r="X6" s="354" t="str">
        <f t="shared" si="4"/>
        <v>Low</v>
      </c>
      <c r="Y6" s="354" t="str">
        <f t="shared" si="4"/>
        <v>Low</v>
      </c>
    </row>
    <row r="7" spans="1:25" s="259" customFormat="1" ht="13.5" thickBot="1">
      <c r="A7" s="343"/>
      <c r="B7" s="318"/>
      <c r="C7" s="318"/>
      <c r="D7" s="318"/>
      <c r="E7" s="343" t="s">
        <v>680</v>
      </c>
      <c r="F7" s="353">
        <f t="shared" ref="F7:Y7" si="5">(F45+F46)*Pathway_I_scaling_factor</f>
        <v>0</v>
      </c>
      <c r="G7" s="353">
        <f t="shared" si="5"/>
        <v>0</v>
      </c>
      <c r="H7" s="353">
        <f t="shared" si="5"/>
        <v>0</v>
      </c>
      <c r="I7" s="353">
        <f t="shared" si="5"/>
        <v>0</v>
      </c>
      <c r="J7" s="353">
        <f t="shared" si="5"/>
        <v>0</v>
      </c>
      <c r="K7" s="353">
        <f t="shared" si="5"/>
        <v>0</v>
      </c>
      <c r="L7" s="353">
        <f t="shared" si="5"/>
        <v>0</v>
      </c>
      <c r="M7" s="353">
        <f t="shared" si="5"/>
        <v>0</v>
      </c>
      <c r="N7" s="353">
        <f t="shared" si="5"/>
        <v>0</v>
      </c>
      <c r="O7" s="353">
        <f t="shared" si="5"/>
        <v>0</v>
      </c>
      <c r="P7" s="353">
        <f t="shared" si="5"/>
        <v>0</v>
      </c>
      <c r="Q7" s="353">
        <f t="shared" si="5"/>
        <v>0</v>
      </c>
      <c r="R7" s="353">
        <f t="shared" si="5"/>
        <v>0</v>
      </c>
      <c r="S7" s="353">
        <f t="shared" si="5"/>
        <v>0</v>
      </c>
      <c r="T7" s="353">
        <f t="shared" si="5"/>
        <v>0</v>
      </c>
      <c r="U7" s="353">
        <f t="shared" si="5"/>
        <v>0</v>
      </c>
      <c r="V7" s="353">
        <f t="shared" si="5"/>
        <v>0</v>
      </c>
      <c r="W7" s="353">
        <f t="shared" si="5"/>
        <v>0</v>
      </c>
      <c r="X7" s="353">
        <f t="shared" si="5"/>
        <v>0</v>
      </c>
      <c r="Y7" s="353">
        <f t="shared" si="5"/>
        <v>0</v>
      </c>
    </row>
    <row r="8" spans="1:25" s="259" customFormat="1" ht="26.25" thickBot="1">
      <c r="A8" s="343" t="s">
        <v>679</v>
      </c>
      <c r="B8" s="352" t="s">
        <v>678</v>
      </c>
      <c r="C8" s="318"/>
      <c r="D8" s="318"/>
      <c r="E8" s="343" t="s">
        <v>677</v>
      </c>
      <c r="F8" s="351">
        <f t="shared" ref="F8:Y8" si="6">(F47+F48+F49)*Pathway_II_scaling_factor</f>
        <v>0.8390836439999998</v>
      </c>
      <c r="G8" s="351">
        <f t="shared" si="6"/>
        <v>0.8390836439999998</v>
      </c>
      <c r="H8" s="351">
        <f t="shared" si="6"/>
        <v>0.8390836439999998</v>
      </c>
      <c r="I8" s="351">
        <f t="shared" si="6"/>
        <v>0.8390836439999998</v>
      </c>
      <c r="J8" s="351">
        <f t="shared" si="6"/>
        <v>0.8390836439999998</v>
      </c>
      <c r="K8" s="351">
        <f t="shared" si="6"/>
        <v>0.8390836439999998</v>
      </c>
      <c r="L8" s="351">
        <f t="shared" si="6"/>
        <v>0.8390836439999998</v>
      </c>
      <c r="M8" s="351">
        <f t="shared" si="6"/>
        <v>0.8390836439999998</v>
      </c>
      <c r="N8" s="351">
        <f t="shared" si="6"/>
        <v>0.8390836439999998</v>
      </c>
      <c r="O8" s="351">
        <f t="shared" si="6"/>
        <v>0.8390836439999998</v>
      </c>
      <c r="P8" s="351">
        <f t="shared" si="6"/>
        <v>0.8390836439999998</v>
      </c>
      <c r="Q8" s="351">
        <f t="shared" si="6"/>
        <v>0.8390836439999998</v>
      </c>
      <c r="R8" s="351">
        <f t="shared" si="6"/>
        <v>0.8390836439999998</v>
      </c>
      <c r="S8" s="351">
        <f t="shared" si="6"/>
        <v>0.8390836439999998</v>
      </c>
      <c r="T8" s="351">
        <f t="shared" si="6"/>
        <v>0.8390836439999998</v>
      </c>
      <c r="U8" s="351">
        <f t="shared" si="6"/>
        <v>0.8390836439999998</v>
      </c>
      <c r="V8" s="351">
        <f t="shared" si="6"/>
        <v>0.8390836439999998</v>
      </c>
      <c r="W8" s="351">
        <f t="shared" si="6"/>
        <v>0.8390836439999998</v>
      </c>
      <c r="X8" s="351">
        <f t="shared" si="6"/>
        <v>0.8390836439999998</v>
      </c>
      <c r="Y8" s="351">
        <f t="shared" si="6"/>
        <v>0.8390836439999998</v>
      </c>
    </row>
    <row r="9" spans="1:25" s="259" customFormat="1" ht="27" customHeight="1" thickBot="1">
      <c r="A9" s="327">
        <v>1</v>
      </c>
      <c r="B9" s="350" t="s">
        <v>676</v>
      </c>
      <c r="C9" s="349"/>
      <c r="D9" s="318"/>
      <c r="E9" s="344" t="s">
        <v>675</v>
      </c>
      <c r="F9" s="348" t="s">
        <v>490</v>
      </c>
      <c r="G9" s="348" t="s">
        <v>490</v>
      </c>
      <c r="H9" s="348" t="s">
        <v>490</v>
      </c>
      <c r="I9" s="348" t="s">
        <v>490</v>
      </c>
      <c r="J9" s="348" t="s">
        <v>490</v>
      </c>
      <c r="K9" s="348" t="s">
        <v>490</v>
      </c>
      <c r="L9" s="348" t="s">
        <v>490</v>
      </c>
      <c r="M9" s="348" t="s">
        <v>490</v>
      </c>
      <c r="N9" s="348" t="s">
        <v>490</v>
      </c>
      <c r="O9" s="348" t="s">
        <v>490</v>
      </c>
      <c r="P9" s="348" t="s">
        <v>490</v>
      </c>
      <c r="Q9" s="348" t="s">
        <v>490</v>
      </c>
      <c r="R9" s="348" t="s">
        <v>490</v>
      </c>
      <c r="S9" s="348" t="s">
        <v>490</v>
      </c>
      <c r="T9" s="348" t="s">
        <v>490</v>
      </c>
      <c r="U9" s="348" t="s">
        <v>490</v>
      </c>
      <c r="V9" s="348" t="s">
        <v>490</v>
      </c>
      <c r="W9" s="348" t="s">
        <v>490</v>
      </c>
      <c r="X9" s="348" t="s">
        <v>490</v>
      </c>
      <c r="Y9" s="348" t="s">
        <v>490</v>
      </c>
    </row>
    <row r="10" spans="1:25" s="259" customFormat="1" ht="13.5" thickBot="1">
      <c r="A10" s="327">
        <v>2</v>
      </c>
      <c r="B10" s="318"/>
      <c r="C10" s="318"/>
      <c r="D10" s="318"/>
      <c r="E10" s="344" t="s">
        <v>674</v>
      </c>
      <c r="F10" s="347" t="s">
        <v>495</v>
      </c>
      <c r="G10" s="347" t="s">
        <v>495</v>
      </c>
      <c r="H10" s="347" t="s">
        <v>495</v>
      </c>
      <c r="I10" s="347" t="s">
        <v>495</v>
      </c>
      <c r="J10" s="347" t="s">
        <v>495</v>
      </c>
      <c r="K10" s="347" t="s">
        <v>495</v>
      </c>
      <c r="L10" s="347" t="s">
        <v>495</v>
      </c>
      <c r="M10" s="347" t="s">
        <v>495</v>
      </c>
      <c r="N10" s="347" t="s">
        <v>495</v>
      </c>
      <c r="O10" s="347" t="s">
        <v>495</v>
      </c>
      <c r="P10" s="347" t="s">
        <v>495</v>
      </c>
      <c r="Q10" s="347" t="s">
        <v>495</v>
      </c>
      <c r="R10" s="347" t="s">
        <v>495</v>
      </c>
      <c r="S10" s="347" t="s">
        <v>495</v>
      </c>
      <c r="T10" s="347" t="s">
        <v>495</v>
      </c>
      <c r="U10" s="347" t="s">
        <v>495</v>
      </c>
      <c r="V10" s="347" t="s">
        <v>495</v>
      </c>
      <c r="W10" s="347" t="s">
        <v>495</v>
      </c>
      <c r="X10" s="347" t="s">
        <v>495</v>
      </c>
      <c r="Y10" s="347" t="s">
        <v>495</v>
      </c>
    </row>
    <row r="11" spans="1:25" s="259" customFormat="1" ht="13.5" thickBot="1">
      <c r="A11" s="334">
        <v>3</v>
      </c>
      <c r="B11" s="318"/>
      <c r="C11" s="318"/>
      <c r="D11" s="318"/>
      <c r="E11" s="336" t="s">
        <v>673</v>
      </c>
      <c r="F11" s="346"/>
      <c r="G11" s="346"/>
      <c r="H11" s="346"/>
      <c r="I11" s="346"/>
      <c r="J11" s="346"/>
      <c r="K11" s="346"/>
      <c r="L11" s="346"/>
      <c r="M11" s="346"/>
      <c r="N11" s="346"/>
      <c r="O11" s="346"/>
      <c r="P11" s="346"/>
      <c r="Q11" s="346"/>
      <c r="R11" s="346"/>
      <c r="S11" s="346"/>
      <c r="T11" s="346"/>
      <c r="U11" s="346"/>
      <c r="V11" s="346"/>
      <c r="W11" s="346"/>
      <c r="X11" s="346"/>
      <c r="Y11" s="346"/>
    </row>
    <row r="12" spans="1:25" s="259" customFormat="1" ht="13.5" thickBot="1">
      <c r="A12" s="334">
        <v>4</v>
      </c>
      <c r="B12" s="319"/>
      <c r="C12" s="318"/>
      <c r="D12" s="318"/>
      <c r="E12" s="336" t="s">
        <v>672</v>
      </c>
      <c r="F12" s="346">
        <v>0</v>
      </c>
      <c r="G12" s="346">
        <v>0</v>
      </c>
      <c r="H12" s="346">
        <v>0</v>
      </c>
      <c r="I12" s="346">
        <v>0</v>
      </c>
      <c r="J12" s="346">
        <v>0</v>
      </c>
      <c r="K12" s="346">
        <v>0</v>
      </c>
      <c r="L12" s="346">
        <v>0</v>
      </c>
      <c r="M12" s="346">
        <v>0</v>
      </c>
      <c r="N12" s="346">
        <v>0</v>
      </c>
      <c r="O12" s="346">
        <v>0</v>
      </c>
      <c r="P12" s="346">
        <v>0</v>
      </c>
      <c r="Q12" s="346">
        <v>0</v>
      </c>
      <c r="R12" s="346">
        <v>0</v>
      </c>
      <c r="S12" s="346">
        <v>0</v>
      </c>
      <c r="T12" s="346">
        <v>0</v>
      </c>
      <c r="U12" s="346">
        <v>0</v>
      </c>
      <c r="V12" s="346">
        <v>0</v>
      </c>
      <c r="W12" s="346">
        <v>0</v>
      </c>
      <c r="X12" s="346">
        <v>0</v>
      </c>
      <c r="Y12" s="346">
        <v>0</v>
      </c>
    </row>
    <row r="13" spans="1:25" s="259" customFormat="1" ht="13.5" customHeight="1" thickBot="1">
      <c r="A13" s="343">
        <v>5</v>
      </c>
      <c r="B13" s="318"/>
      <c r="C13" s="318"/>
      <c r="D13" s="318"/>
      <c r="E13" s="342" t="s">
        <v>779</v>
      </c>
      <c r="F13" s="463">
        <f>'1'!$I13*F$115</f>
        <v>0</v>
      </c>
      <c r="G13" s="463">
        <f>'2'!$I13*G$115</f>
        <v>0</v>
      </c>
      <c r="H13" s="463">
        <f>'3'!$I13*H$115</f>
        <v>0</v>
      </c>
      <c r="I13" s="463">
        <f>'4'!$I13*I$115</f>
        <v>0</v>
      </c>
      <c r="J13" s="463">
        <f>'5'!$I13*J$115</f>
        <v>0</v>
      </c>
      <c r="K13" s="463">
        <f>'6'!$I13*K$115</f>
        <v>0</v>
      </c>
      <c r="L13" s="463">
        <f>'7'!$I13*L$115</f>
        <v>0</v>
      </c>
      <c r="M13" s="463">
        <f>'8'!$I13*M$115</f>
        <v>0</v>
      </c>
      <c r="N13" s="463">
        <f>'9'!$I13*N$115</f>
        <v>0</v>
      </c>
      <c r="O13" s="463">
        <f>'10'!$I13*O$115</f>
        <v>0</v>
      </c>
      <c r="P13" s="463">
        <f>'11'!$I13*P$115</f>
        <v>0</v>
      </c>
      <c r="Q13" s="463">
        <f>'12'!$I13*Q$115</f>
        <v>0</v>
      </c>
      <c r="R13" s="463">
        <f>'13'!$I13*R$115</f>
        <v>0</v>
      </c>
      <c r="S13" s="463">
        <f>'14'!$I13*S$115</f>
        <v>0</v>
      </c>
      <c r="T13" s="463">
        <f>'15'!$I13*T$115</f>
        <v>0</v>
      </c>
      <c r="U13" s="463">
        <f>'16'!$I13*U$115</f>
        <v>0</v>
      </c>
      <c r="V13" s="463">
        <f>'17'!$I13*V$115</f>
        <v>0</v>
      </c>
      <c r="W13" s="463">
        <f>'18'!$I13*W$115</f>
        <v>0</v>
      </c>
      <c r="X13" s="463">
        <f>'19'!$I13*X$115</f>
        <v>0</v>
      </c>
      <c r="Y13" s="463">
        <f>'20'!$I13*Y$115</f>
        <v>0</v>
      </c>
    </row>
    <row r="14" spans="1:25" s="259" customFormat="1" ht="13.5" customHeight="1" thickBot="1">
      <c r="A14" s="343">
        <v>6</v>
      </c>
      <c r="B14" s="318"/>
      <c r="C14" s="318"/>
      <c r="D14" s="318"/>
      <c r="E14" s="342" t="s">
        <v>787</v>
      </c>
      <c r="F14" s="345" t="s">
        <v>594</v>
      </c>
      <c r="G14" s="345" t="s">
        <v>594</v>
      </c>
      <c r="H14" s="345" t="s">
        <v>594</v>
      </c>
      <c r="I14" s="345" t="s">
        <v>594</v>
      </c>
      <c r="J14" s="345" t="s">
        <v>594</v>
      </c>
      <c r="K14" s="345" t="s">
        <v>594</v>
      </c>
      <c r="L14" s="345" t="s">
        <v>594</v>
      </c>
      <c r="M14" s="345" t="s">
        <v>594</v>
      </c>
      <c r="N14" s="345" t="s">
        <v>594</v>
      </c>
      <c r="O14" s="345" t="s">
        <v>594</v>
      </c>
      <c r="P14" s="345" t="s">
        <v>594</v>
      </c>
      <c r="Q14" s="345" t="s">
        <v>594</v>
      </c>
      <c r="R14" s="345" t="s">
        <v>594</v>
      </c>
      <c r="S14" s="345" t="s">
        <v>594</v>
      </c>
      <c r="T14" s="345" t="s">
        <v>594</v>
      </c>
      <c r="U14" s="345" t="s">
        <v>594</v>
      </c>
      <c r="V14" s="345" t="s">
        <v>594</v>
      </c>
      <c r="W14" s="345" t="s">
        <v>594</v>
      </c>
      <c r="X14" s="345" t="s">
        <v>594</v>
      </c>
      <c r="Y14" s="345" t="s">
        <v>594</v>
      </c>
    </row>
    <row r="15" spans="1:25" s="259" customFormat="1" ht="13.5" customHeight="1" thickBot="1">
      <c r="A15" s="343">
        <v>7</v>
      </c>
      <c r="B15" s="318" t="s">
        <v>671</v>
      </c>
      <c r="C15" s="318"/>
      <c r="D15" s="318"/>
      <c r="E15" s="342" t="s">
        <v>785</v>
      </c>
      <c r="F15" s="341" t="s">
        <v>594</v>
      </c>
      <c r="G15" s="341" t="s">
        <v>594</v>
      </c>
      <c r="H15" s="341" t="s">
        <v>594</v>
      </c>
      <c r="I15" s="341" t="s">
        <v>594</v>
      </c>
      <c r="J15" s="341" t="s">
        <v>594</v>
      </c>
      <c r="K15" s="341" t="s">
        <v>594</v>
      </c>
      <c r="L15" s="341" t="s">
        <v>594</v>
      </c>
      <c r="M15" s="341" t="s">
        <v>594</v>
      </c>
      <c r="N15" s="341" t="s">
        <v>594</v>
      </c>
      <c r="O15" s="341" t="s">
        <v>594</v>
      </c>
      <c r="P15" s="341" t="s">
        <v>594</v>
      </c>
      <c r="Q15" s="341" t="s">
        <v>594</v>
      </c>
      <c r="R15" s="341" t="s">
        <v>594</v>
      </c>
      <c r="S15" s="341" t="s">
        <v>594</v>
      </c>
      <c r="T15" s="341" t="s">
        <v>594</v>
      </c>
      <c r="U15" s="341" t="s">
        <v>594</v>
      </c>
      <c r="V15" s="341" t="s">
        <v>594</v>
      </c>
      <c r="W15" s="341" t="s">
        <v>594</v>
      </c>
      <c r="X15" s="341" t="s">
        <v>594</v>
      </c>
      <c r="Y15" s="341" t="s">
        <v>594</v>
      </c>
    </row>
    <row r="16" spans="1:25" s="259" customFormat="1" ht="13.5" customHeight="1" thickBot="1">
      <c r="A16" s="343">
        <v>8</v>
      </c>
      <c r="B16" s="318" t="s">
        <v>670</v>
      </c>
      <c r="C16" s="318">
        <v>0</v>
      </c>
      <c r="D16" s="318"/>
      <c r="E16" s="342" t="s">
        <v>786</v>
      </c>
      <c r="F16" s="341" t="s">
        <v>594</v>
      </c>
      <c r="G16" s="341" t="s">
        <v>594</v>
      </c>
      <c r="H16" s="341" t="s">
        <v>594</v>
      </c>
      <c r="I16" s="341" t="s">
        <v>594</v>
      </c>
      <c r="J16" s="341" t="s">
        <v>594</v>
      </c>
      <c r="K16" s="341" t="s">
        <v>594</v>
      </c>
      <c r="L16" s="341" t="s">
        <v>594</v>
      </c>
      <c r="M16" s="341" t="s">
        <v>594</v>
      </c>
      <c r="N16" s="341" t="s">
        <v>594</v>
      </c>
      <c r="O16" s="341" t="s">
        <v>594</v>
      </c>
      <c r="P16" s="341" t="s">
        <v>594</v>
      </c>
      <c r="Q16" s="341" t="s">
        <v>594</v>
      </c>
      <c r="R16" s="341" t="s">
        <v>594</v>
      </c>
      <c r="S16" s="341" t="s">
        <v>594</v>
      </c>
      <c r="T16" s="341" t="s">
        <v>594</v>
      </c>
      <c r="U16" s="341" t="s">
        <v>594</v>
      </c>
      <c r="V16" s="341" t="s">
        <v>594</v>
      </c>
      <c r="W16" s="341" t="s">
        <v>594</v>
      </c>
      <c r="X16" s="341" t="s">
        <v>594</v>
      </c>
      <c r="Y16" s="341" t="s">
        <v>594</v>
      </c>
    </row>
    <row r="17" spans="1:25" s="259" customFormat="1" ht="13.5" customHeight="1" thickBot="1">
      <c r="A17" s="343"/>
      <c r="B17" s="318"/>
      <c r="C17" s="318"/>
      <c r="D17" s="318"/>
      <c r="E17" s="539" t="s">
        <v>846</v>
      </c>
      <c r="F17" s="540" t="str">
        <f>'1'!$A$13</f>
        <v>Other</v>
      </c>
      <c r="G17" s="540" t="str">
        <f>'2'!$A$13</f>
        <v>Other</v>
      </c>
      <c r="H17" s="540" t="str">
        <f>'3'!$A$13</f>
        <v>Other</v>
      </c>
      <c r="I17" s="540" t="str">
        <f>'4'!$A$13</f>
        <v>Other</v>
      </c>
      <c r="J17" s="540" t="str">
        <f>'5'!$A$13</f>
        <v>Other</v>
      </c>
      <c r="K17" s="540" t="str">
        <f>'6'!$A$13</f>
        <v>Other</v>
      </c>
      <c r="L17" s="540" t="str">
        <f>'7'!$A$13</f>
        <v>Other</v>
      </c>
      <c r="M17" s="540" t="str">
        <f>'8'!$A$13</f>
        <v>Other</v>
      </c>
      <c r="N17" s="540" t="str">
        <f>'9'!$A$13</f>
        <v>Other</v>
      </c>
      <c r="O17" s="540" t="str">
        <f>'10'!$A$13</f>
        <v>Other</v>
      </c>
      <c r="P17" s="540" t="str">
        <f>'11'!$A$13</f>
        <v>Other</v>
      </c>
      <c r="Q17" s="540" t="str">
        <f>'12'!$A$13</f>
        <v>Other</v>
      </c>
      <c r="R17" s="540" t="str">
        <f>'13'!$A$13</f>
        <v>Other</v>
      </c>
      <c r="S17" s="540" t="str">
        <f>'14'!$A$13</f>
        <v>Other</v>
      </c>
      <c r="T17" s="540" t="str">
        <f>'15'!$A$13</f>
        <v>Other</v>
      </c>
      <c r="U17" s="540" t="str">
        <f>'16'!$A$13</f>
        <v>Other</v>
      </c>
      <c r="V17" s="540" t="str">
        <f>'17'!$A$13</f>
        <v>Other</v>
      </c>
      <c r="W17" s="540" t="str">
        <f>'18'!$A$13</f>
        <v>Other</v>
      </c>
      <c r="X17" s="540" t="str">
        <f>'19'!$A$13</f>
        <v>Other</v>
      </c>
      <c r="Y17" s="540" t="str">
        <f>'20'!$A$13</f>
        <v>Other</v>
      </c>
    </row>
    <row r="18" spans="1:25" s="259" customFormat="1" ht="13.5" customHeight="1" thickBot="1">
      <c r="A18" s="542">
        <v>9</v>
      </c>
      <c r="B18" s="543" t="s">
        <v>669</v>
      </c>
      <c r="C18" s="543">
        <v>30</v>
      </c>
      <c r="D18" s="543"/>
      <c r="E18" s="544" t="s">
        <v>780</v>
      </c>
      <c r="F18" s="546">
        <f>'1'!$I14*F115</f>
        <v>0</v>
      </c>
      <c r="G18" s="546">
        <f>'2'!$I14*G115</f>
        <v>0</v>
      </c>
      <c r="H18" s="546">
        <f>'3'!$I14*H115</f>
        <v>0</v>
      </c>
      <c r="I18" s="546">
        <f>'4'!$I14*I115</f>
        <v>0</v>
      </c>
      <c r="J18" s="546">
        <f>'5'!$I14*J115</f>
        <v>0</v>
      </c>
      <c r="K18" s="546">
        <f>'6'!$I14*K115</f>
        <v>0</v>
      </c>
      <c r="L18" s="546">
        <f>'7'!$I14*L115</f>
        <v>0</v>
      </c>
      <c r="M18" s="546">
        <f>'8'!$I14*M115</f>
        <v>0</v>
      </c>
      <c r="N18" s="546">
        <f>'9'!$I14*N115</f>
        <v>0</v>
      </c>
      <c r="O18" s="546">
        <f>'10'!$I14*O115</f>
        <v>0</v>
      </c>
      <c r="P18" s="546">
        <f>'11'!$I14*P115</f>
        <v>0</v>
      </c>
      <c r="Q18" s="546">
        <f>'12'!$I14*Q115</f>
        <v>0</v>
      </c>
      <c r="R18" s="546">
        <f>'13'!$I14*R115</f>
        <v>0</v>
      </c>
      <c r="S18" s="546">
        <f>'14'!$I14*S115</f>
        <v>0</v>
      </c>
      <c r="T18" s="546">
        <f>'15'!$I14*T115</f>
        <v>0</v>
      </c>
      <c r="U18" s="546">
        <f>'16'!$I14*U115</f>
        <v>0</v>
      </c>
      <c r="V18" s="546">
        <f>'17'!$I14*V115</f>
        <v>0</v>
      </c>
      <c r="W18" s="546">
        <f>'18'!$I14*W115</f>
        <v>0</v>
      </c>
      <c r="X18" s="546">
        <f>'19'!$I14*X115</f>
        <v>0</v>
      </c>
      <c r="Y18" s="546">
        <f>'20'!$I14*Y115</f>
        <v>0</v>
      </c>
    </row>
    <row r="19" spans="1:25" s="259" customFormat="1" ht="13.5" customHeight="1" thickBot="1">
      <c r="A19" s="542">
        <v>10</v>
      </c>
      <c r="B19" s="543" t="s">
        <v>668</v>
      </c>
      <c r="C19" s="543">
        <v>60</v>
      </c>
      <c r="D19" s="543"/>
      <c r="E19" s="544" t="s">
        <v>788</v>
      </c>
      <c r="F19" s="547" t="s">
        <v>594</v>
      </c>
      <c r="G19" s="547" t="s">
        <v>594</v>
      </c>
      <c r="H19" s="547" t="s">
        <v>594</v>
      </c>
      <c r="I19" s="547" t="s">
        <v>594</v>
      </c>
      <c r="J19" s="547" t="s">
        <v>594</v>
      </c>
      <c r="K19" s="547" t="s">
        <v>594</v>
      </c>
      <c r="L19" s="547" t="s">
        <v>594</v>
      </c>
      <c r="M19" s="547" t="s">
        <v>594</v>
      </c>
      <c r="N19" s="547" t="s">
        <v>594</v>
      </c>
      <c r="O19" s="547" t="s">
        <v>594</v>
      </c>
      <c r="P19" s="547" t="s">
        <v>594</v>
      </c>
      <c r="Q19" s="547" t="s">
        <v>594</v>
      </c>
      <c r="R19" s="547" t="s">
        <v>594</v>
      </c>
      <c r="S19" s="547" t="s">
        <v>594</v>
      </c>
      <c r="T19" s="547" t="s">
        <v>594</v>
      </c>
      <c r="U19" s="547" t="s">
        <v>594</v>
      </c>
      <c r="V19" s="547" t="s">
        <v>594</v>
      </c>
      <c r="W19" s="547" t="s">
        <v>594</v>
      </c>
      <c r="X19" s="547" t="s">
        <v>594</v>
      </c>
      <c r="Y19" s="547" t="s">
        <v>594</v>
      </c>
    </row>
    <row r="20" spans="1:25" s="259" customFormat="1" ht="13.5" customHeight="1" thickBot="1">
      <c r="A20" s="542">
        <v>11</v>
      </c>
      <c r="B20" s="543" t="s">
        <v>667</v>
      </c>
      <c r="C20" s="543">
        <v>100</v>
      </c>
      <c r="D20" s="543"/>
      <c r="E20" s="544" t="s">
        <v>784</v>
      </c>
      <c r="F20" s="548" t="s">
        <v>594</v>
      </c>
      <c r="G20" s="548" t="s">
        <v>594</v>
      </c>
      <c r="H20" s="548" t="s">
        <v>594</v>
      </c>
      <c r="I20" s="548" t="s">
        <v>594</v>
      </c>
      <c r="J20" s="548" t="s">
        <v>594</v>
      </c>
      <c r="K20" s="548" t="s">
        <v>594</v>
      </c>
      <c r="L20" s="548" t="s">
        <v>594</v>
      </c>
      <c r="M20" s="548" t="s">
        <v>594</v>
      </c>
      <c r="N20" s="548" t="s">
        <v>594</v>
      </c>
      <c r="O20" s="548" t="s">
        <v>594</v>
      </c>
      <c r="P20" s="548" t="s">
        <v>594</v>
      </c>
      <c r="Q20" s="548" t="s">
        <v>594</v>
      </c>
      <c r="R20" s="548" t="s">
        <v>594</v>
      </c>
      <c r="S20" s="548" t="s">
        <v>594</v>
      </c>
      <c r="T20" s="548" t="s">
        <v>594</v>
      </c>
      <c r="U20" s="548" t="s">
        <v>594</v>
      </c>
      <c r="V20" s="548" t="s">
        <v>594</v>
      </c>
      <c r="W20" s="548" t="s">
        <v>594</v>
      </c>
      <c r="X20" s="548" t="s">
        <v>594</v>
      </c>
      <c r="Y20" s="548" t="s">
        <v>594</v>
      </c>
    </row>
    <row r="21" spans="1:25" s="259" customFormat="1" ht="13.5" customHeight="1" thickBot="1">
      <c r="A21" s="542">
        <v>12</v>
      </c>
      <c r="B21" s="543"/>
      <c r="C21" s="543"/>
      <c r="D21" s="543"/>
      <c r="E21" s="544" t="s">
        <v>783</v>
      </c>
      <c r="F21" s="548" t="s">
        <v>594</v>
      </c>
      <c r="G21" s="548" t="s">
        <v>594</v>
      </c>
      <c r="H21" s="548" t="s">
        <v>594</v>
      </c>
      <c r="I21" s="548" t="s">
        <v>594</v>
      </c>
      <c r="J21" s="548" t="s">
        <v>594</v>
      </c>
      <c r="K21" s="548" t="s">
        <v>594</v>
      </c>
      <c r="L21" s="548" t="s">
        <v>594</v>
      </c>
      <c r="M21" s="548" t="s">
        <v>594</v>
      </c>
      <c r="N21" s="548" t="s">
        <v>594</v>
      </c>
      <c r="O21" s="548" t="s">
        <v>594</v>
      </c>
      <c r="P21" s="548" t="s">
        <v>594</v>
      </c>
      <c r="Q21" s="548" t="s">
        <v>594</v>
      </c>
      <c r="R21" s="548" t="s">
        <v>594</v>
      </c>
      <c r="S21" s="548" t="s">
        <v>594</v>
      </c>
      <c r="T21" s="548" t="s">
        <v>594</v>
      </c>
      <c r="U21" s="548" t="s">
        <v>594</v>
      </c>
      <c r="V21" s="548" t="s">
        <v>594</v>
      </c>
      <c r="W21" s="548" t="s">
        <v>594</v>
      </c>
      <c r="X21" s="548" t="s">
        <v>594</v>
      </c>
      <c r="Y21" s="548" t="s">
        <v>594</v>
      </c>
    </row>
    <row r="22" spans="1:25" s="259" customFormat="1" ht="13.5" thickBot="1">
      <c r="A22" s="542">
        <v>13</v>
      </c>
      <c r="B22" s="543"/>
      <c r="C22" s="543"/>
      <c r="D22" s="543"/>
      <c r="E22" s="545" t="s">
        <v>847</v>
      </c>
      <c r="F22" s="549" t="str">
        <f>'1'!$A$14</f>
        <v>Other</v>
      </c>
      <c r="G22" s="549" t="str">
        <f>'2'!$A$14</f>
        <v>Other</v>
      </c>
      <c r="H22" s="549" t="str">
        <f>'3'!$A$14</f>
        <v>Other</v>
      </c>
      <c r="I22" s="549" t="str">
        <f>'4'!$A$14</f>
        <v>Other</v>
      </c>
      <c r="J22" s="549" t="str">
        <f>'5'!$A$14</f>
        <v>Other</v>
      </c>
      <c r="K22" s="549" t="str">
        <f>'6'!$A$14</f>
        <v>Other</v>
      </c>
      <c r="L22" s="549" t="str">
        <f>'7'!$A$14</f>
        <v>Other</v>
      </c>
      <c r="M22" s="549" t="str">
        <f>'8'!$A$14</f>
        <v>Other</v>
      </c>
      <c r="N22" s="549" t="str">
        <f>'9'!$A$14</f>
        <v>Other</v>
      </c>
      <c r="O22" s="549" t="str">
        <f>'10'!$A$14</f>
        <v>Other</v>
      </c>
      <c r="P22" s="549" t="str">
        <f>'11'!$A$14</f>
        <v>Other</v>
      </c>
      <c r="Q22" s="549" t="str">
        <f>'12'!$A$14</f>
        <v>Other</v>
      </c>
      <c r="R22" s="549" t="str">
        <f>'13'!$A$14</f>
        <v>Other</v>
      </c>
      <c r="S22" s="549" t="str">
        <f>'14'!$A$14</f>
        <v>Other</v>
      </c>
      <c r="T22" s="549" t="str">
        <f>'15'!$A$14</f>
        <v>Other</v>
      </c>
      <c r="U22" s="549" t="str">
        <f>'16'!$A$14</f>
        <v>Other</v>
      </c>
      <c r="V22" s="549" t="str">
        <f>'17'!$A$14</f>
        <v>Other</v>
      </c>
      <c r="W22" s="549" t="str">
        <f>'18'!$A$14</f>
        <v>Other</v>
      </c>
      <c r="X22" s="549" t="str">
        <f>'19'!$A$14</f>
        <v>Other</v>
      </c>
      <c r="Y22" s="549" t="str">
        <f>'20'!$A$14</f>
        <v>Other</v>
      </c>
    </row>
    <row r="23" spans="1:25" s="259" customFormat="1" ht="13.5" thickBot="1">
      <c r="A23" s="340">
        <v>14</v>
      </c>
      <c r="B23" s="339" t="s">
        <v>666</v>
      </c>
      <c r="C23" s="222"/>
      <c r="D23" s="222"/>
      <c r="E23" s="338" t="s">
        <v>781</v>
      </c>
      <c r="F23" s="464">
        <f>SUM('1'!$I16:$I19)</f>
        <v>0</v>
      </c>
      <c r="G23" s="464">
        <f>SUM('2'!$I16:$I19)</f>
        <v>0</v>
      </c>
      <c r="H23" s="464">
        <f>SUM('3'!$I16:$I19)</f>
        <v>0</v>
      </c>
      <c r="I23" s="464">
        <f>SUM('4'!$I16:$I19)</f>
        <v>0</v>
      </c>
      <c r="J23" s="464">
        <f>SUM('5'!$I16:$I19)</f>
        <v>0</v>
      </c>
      <c r="K23" s="464">
        <f>SUM('6'!$I16:$I19)</f>
        <v>0</v>
      </c>
      <c r="L23" s="464">
        <f>SUM('7'!$I16:$I19)</f>
        <v>0</v>
      </c>
      <c r="M23" s="464">
        <f>SUM('8'!$I16:$I19)</f>
        <v>0</v>
      </c>
      <c r="N23" s="464">
        <f>SUM('9'!$I16:$I19)</f>
        <v>0</v>
      </c>
      <c r="O23" s="464">
        <f>SUM('10'!$I16:$I19)</f>
        <v>0</v>
      </c>
      <c r="P23" s="464">
        <f>SUM('11'!$I16:$I19)</f>
        <v>0</v>
      </c>
      <c r="Q23" s="464">
        <f>SUM('12'!$I16:$I19)</f>
        <v>0</v>
      </c>
      <c r="R23" s="464">
        <f>SUM('13'!$I16:$I19)</f>
        <v>0</v>
      </c>
      <c r="S23" s="464">
        <f>SUM('14'!$I16:$I19)</f>
        <v>0</v>
      </c>
      <c r="T23" s="464">
        <f>SUM('15'!$I16:$I19)</f>
        <v>0</v>
      </c>
      <c r="U23" s="464">
        <f>SUM('16'!$I16:$I19)</f>
        <v>0</v>
      </c>
      <c r="V23" s="464">
        <f>SUM('17'!$I16:$I19)</f>
        <v>0</v>
      </c>
      <c r="W23" s="464">
        <f>SUM('18'!$I16:$I19)</f>
        <v>0</v>
      </c>
      <c r="X23" s="464">
        <f>SUM('19'!$I16:$I19)</f>
        <v>0</v>
      </c>
      <c r="Y23" s="464">
        <f>SUM('20'!$I16:$I19)</f>
        <v>0</v>
      </c>
    </row>
    <row r="24" spans="1:25" s="259" customFormat="1" ht="13.5" customHeight="1" thickBot="1">
      <c r="A24" s="340">
        <v>15</v>
      </c>
      <c r="B24" s="339" t="s">
        <v>664</v>
      </c>
      <c r="C24" s="222"/>
      <c r="D24" s="222"/>
      <c r="E24" s="338" t="s">
        <v>782</v>
      </c>
      <c r="F24" s="337" t="s">
        <v>594</v>
      </c>
      <c r="G24" s="337" t="s">
        <v>594</v>
      </c>
      <c r="H24" s="337" t="s">
        <v>594</v>
      </c>
      <c r="I24" s="337" t="s">
        <v>594</v>
      </c>
      <c r="J24" s="337" t="s">
        <v>594</v>
      </c>
      <c r="K24" s="337" t="s">
        <v>594</v>
      </c>
      <c r="L24" s="337" t="s">
        <v>594</v>
      </c>
      <c r="M24" s="337" t="s">
        <v>594</v>
      </c>
      <c r="N24" s="337" t="s">
        <v>594</v>
      </c>
      <c r="O24" s="337" t="s">
        <v>594</v>
      </c>
      <c r="P24" s="337" t="s">
        <v>594</v>
      </c>
      <c r="Q24" s="337" t="s">
        <v>594</v>
      </c>
      <c r="R24" s="337" t="s">
        <v>594</v>
      </c>
      <c r="S24" s="337" t="s">
        <v>594</v>
      </c>
      <c r="T24" s="337" t="s">
        <v>594</v>
      </c>
      <c r="U24" s="337" t="s">
        <v>594</v>
      </c>
      <c r="V24" s="337" t="s">
        <v>594</v>
      </c>
      <c r="W24" s="337" t="s">
        <v>594</v>
      </c>
      <c r="X24" s="337" t="s">
        <v>594</v>
      </c>
      <c r="Y24" s="337" t="s">
        <v>594</v>
      </c>
    </row>
    <row r="25" spans="1:25" s="259" customFormat="1" ht="13.5" thickBot="1">
      <c r="A25" s="334">
        <v>16</v>
      </c>
      <c r="B25" s="222"/>
      <c r="C25" s="222"/>
      <c r="D25" s="222"/>
      <c r="E25" s="336" t="s">
        <v>662</v>
      </c>
      <c r="F25" s="335">
        <v>0</v>
      </c>
      <c r="G25" s="335">
        <v>0</v>
      </c>
      <c r="H25" s="335">
        <v>0</v>
      </c>
      <c r="I25" s="335">
        <v>0</v>
      </c>
      <c r="J25" s="335">
        <v>0</v>
      </c>
      <c r="K25" s="335">
        <v>0</v>
      </c>
      <c r="L25" s="335">
        <v>0</v>
      </c>
      <c r="M25" s="335">
        <v>0</v>
      </c>
      <c r="N25" s="335">
        <v>0</v>
      </c>
      <c r="O25" s="335">
        <v>0</v>
      </c>
      <c r="P25" s="335">
        <v>0</v>
      </c>
      <c r="Q25" s="335">
        <v>0</v>
      </c>
      <c r="R25" s="335">
        <v>0</v>
      </c>
      <c r="S25" s="335">
        <v>0</v>
      </c>
      <c r="T25" s="335">
        <v>0</v>
      </c>
      <c r="U25" s="335">
        <v>0</v>
      </c>
      <c r="V25" s="335">
        <v>0</v>
      </c>
      <c r="W25" s="335">
        <v>0</v>
      </c>
      <c r="X25" s="335">
        <v>0</v>
      </c>
      <c r="Y25" s="335">
        <v>0</v>
      </c>
    </row>
    <row r="26" spans="1:25" s="259" customFormat="1" ht="13.5" thickBot="1">
      <c r="A26" s="334">
        <v>17</v>
      </c>
      <c r="B26" s="422"/>
      <c r="C26" s="423" t="s">
        <v>661</v>
      </c>
      <c r="D26" s="302" t="s">
        <v>660</v>
      </c>
      <c r="E26" s="333" t="s">
        <v>659</v>
      </c>
      <c r="F26" s="332" t="s">
        <v>402</v>
      </c>
      <c r="G26" s="332" t="s">
        <v>402</v>
      </c>
      <c r="H26" s="332" t="s">
        <v>402</v>
      </c>
      <c r="I26" s="332" t="s">
        <v>402</v>
      </c>
      <c r="J26" s="332" t="s">
        <v>402</v>
      </c>
      <c r="K26" s="332" t="s">
        <v>402</v>
      </c>
      <c r="L26" s="332" t="s">
        <v>402</v>
      </c>
      <c r="M26" s="332" t="s">
        <v>402</v>
      </c>
      <c r="N26" s="332" t="s">
        <v>402</v>
      </c>
      <c r="O26" s="332" t="s">
        <v>402</v>
      </c>
      <c r="P26" s="332" t="s">
        <v>402</v>
      </c>
      <c r="Q26" s="332" t="s">
        <v>402</v>
      </c>
      <c r="R26" s="332" t="s">
        <v>402</v>
      </c>
      <c r="S26" s="332" t="s">
        <v>402</v>
      </c>
      <c r="T26" s="332" t="s">
        <v>402</v>
      </c>
      <c r="U26" s="332" t="s">
        <v>402</v>
      </c>
      <c r="V26" s="332" t="s">
        <v>402</v>
      </c>
      <c r="W26" s="332" t="s">
        <v>402</v>
      </c>
      <c r="X26" s="332" t="s">
        <v>402</v>
      </c>
      <c r="Y26" s="332" t="s">
        <v>402</v>
      </c>
    </row>
    <row r="27" spans="1:25" s="259" customFormat="1" ht="13.5" thickBot="1">
      <c r="A27" s="327">
        <v>18</v>
      </c>
      <c r="B27" s="242"/>
      <c r="C27" s="301">
        <v>8.4580000000000002</v>
      </c>
      <c r="D27" s="301">
        <v>1.65</v>
      </c>
      <c r="E27" s="329" t="s">
        <v>590</v>
      </c>
      <c r="F27" s="331" t="s">
        <v>534</v>
      </c>
      <c r="G27" s="331" t="s">
        <v>534</v>
      </c>
      <c r="H27" s="331" t="s">
        <v>534</v>
      </c>
      <c r="I27" s="331" t="s">
        <v>534</v>
      </c>
      <c r="J27" s="331" t="s">
        <v>534</v>
      </c>
      <c r="K27" s="331" t="s">
        <v>534</v>
      </c>
      <c r="L27" s="331" t="s">
        <v>534</v>
      </c>
      <c r="M27" s="331" t="s">
        <v>534</v>
      </c>
      <c r="N27" s="331" t="s">
        <v>534</v>
      </c>
      <c r="O27" s="331" t="s">
        <v>534</v>
      </c>
      <c r="P27" s="331" t="s">
        <v>534</v>
      </c>
      <c r="Q27" s="331" t="s">
        <v>534</v>
      </c>
      <c r="R27" s="331" t="s">
        <v>534</v>
      </c>
      <c r="S27" s="331" t="s">
        <v>534</v>
      </c>
      <c r="T27" s="331" t="s">
        <v>534</v>
      </c>
      <c r="U27" s="331" t="s">
        <v>534</v>
      </c>
      <c r="V27" s="331" t="s">
        <v>534</v>
      </c>
      <c r="W27" s="331" t="s">
        <v>534</v>
      </c>
      <c r="X27" s="331" t="s">
        <v>534</v>
      </c>
      <c r="Y27" s="331" t="s">
        <v>534</v>
      </c>
    </row>
    <row r="28" spans="1:25" s="259" customFormat="1" ht="13.5" thickBot="1">
      <c r="A28" s="327">
        <v>19</v>
      </c>
      <c r="B28" s="242"/>
      <c r="C28" s="301">
        <v>766</v>
      </c>
      <c r="D28" s="301">
        <v>18.100000000000001</v>
      </c>
      <c r="E28" s="329" t="s">
        <v>658</v>
      </c>
      <c r="F28" s="331" t="s">
        <v>505</v>
      </c>
      <c r="G28" s="331" t="s">
        <v>505</v>
      </c>
      <c r="H28" s="331" t="s">
        <v>505</v>
      </c>
      <c r="I28" s="331" t="s">
        <v>505</v>
      </c>
      <c r="J28" s="331" t="s">
        <v>505</v>
      </c>
      <c r="K28" s="331" t="s">
        <v>505</v>
      </c>
      <c r="L28" s="331" t="s">
        <v>505</v>
      </c>
      <c r="M28" s="331" t="s">
        <v>505</v>
      </c>
      <c r="N28" s="331" t="s">
        <v>505</v>
      </c>
      <c r="O28" s="331" t="s">
        <v>505</v>
      </c>
      <c r="P28" s="331" t="s">
        <v>505</v>
      </c>
      <c r="Q28" s="331" t="s">
        <v>505</v>
      </c>
      <c r="R28" s="331" t="s">
        <v>505</v>
      </c>
      <c r="S28" s="331" t="s">
        <v>505</v>
      </c>
      <c r="T28" s="331" t="s">
        <v>505</v>
      </c>
      <c r="U28" s="331" t="s">
        <v>505</v>
      </c>
      <c r="V28" s="331" t="s">
        <v>505</v>
      </c>
      <c r="W28" s="331" t="s">
        <v>505</v>
      </c>
      <c r="X28" s="331" t="s">
        <v>505</v>
      </c>
      <c r="Y28" s="331" t="s">
        <v>505</v>
      </c>
    </row>
    <row r="29" spans="1:25" s="259" customFormat="1" ht="13.5" customHeight="1" thickBot="1">
      <c r="A29" s="327">
        <v>20</v>
      </c>
      <c r="B29" s="242"/>
      <c r="C29" s="301">
        <v>1700</v>
      </c>
      <c r="D29" s="301">
        <v>150</v>
      </c>
      <c r="E29" s="329" t="s">
        <v>657</v>
      </c>
      <c r="F29" s="331">
        <v>0</v>
      </c>
      <c r="G29" s="331">
        <v>0</v>
      </c>
      <c r="H29" s="331">
        <v>0</v>
      </c>
      <c r="I29" s="331">
        <v>0</v>
      </c>
      <c r="J29" s="331">
        <v>0</v>
      </c>
      <c r="K29" s="331">
        <v>0</v>
      </c>
      <c r="L29" s="331">
        <v>0</v>
      </c>
      <c r="M29" s="331">
        <v>0</v>
      </c>
      <c r="N29" s="331">
        <v>0</v>
      </c>
      <c r="O29" s="331">
        <v>0</v>
      </c>
      <c r="P29" s="331">
        <v>0</v>
      </c>
      <c r="Q29" s="331">
        <v>0</v>
      </c>
      <c r="R29" s="331">
        <v>0</v>
      </c>
      <c r="S29" s="331">
        <v>0</v>
      </c>
      <c r="T29" s="331">
        <v>0</v>
      </c>
      <c r="U29" s="331">
        <v>0</v>
      </c>
      <c r="V29" s="331">
        <v>0</v>
      </c>
      <c r="W29" s="331">
        <v>0</v>
      </c>
      <c r="X29" s="331">
        <v>0</v>
      </c>
      <c r="Y29" s="331">
        <v>0</v>
      </c>
    </row>
    <row r="30" spans="1:25" s="259" customFormat="1" ht="13.5" customHeight="1" thickBot="1">
      <c r="A30" s="327">
        <v>21</v>
      </c>
      <c r="B30" s="242"/>
      <c r="C30" s="301">
        <v>0.4</v>
      </c>
      <c r="D30" s="301">
        <v>3</v>
      </c>
      <c r="E30" s="329" t="s">
        <v>656</v>
      </c>
      <c r="F30" s="331">
        <v>0</v>
      </c>
      <c r="G30" s="331">
        <v>0</v>
      </c>
      <c r="H30" s="331">
        <v>0</v>
      </c>
      <c r="I30" s="331">
        <v>0</v>
      </c>
      <c r="J30" s="331">
        <v>0</v>
      </c>
      <c r="K30" s="331">
        <v>0</v>
      </c>
      <c r="L30" s="331">
        <v>0</v>
      </c>
      <c r="M30" s="331">
        <v>0</v>
      </c>
      <c r="N30" s="331">
        <v>0</v>
      </c>
      <c r="O30" s="331">
        <v>0</v>
      </c>
      <c r="P30" s="331">
        <v>0</v>
      </c>
      <c r="Q30" s="331">
        <v>0</v>
      </c>
      <c r="R30" s="331">
        <v>0</v>
      </c>
      <c r="S30" s="331">
        <v>0</v>
      </c>
      <c r="T30" s="331">
        <v>0</v>
      </c>
      <c r="U30" s="331">
        <v>0</v>
      </c>
      <c r="V30" s="331">
        <v>0</v>
      </c>
      <c r="W30" s="331">
        <v>0</v>
      </c>
      <c r="X30" s="331">
        <v>0</v>
      </c>
      <c r="Y30" s="331">
        <v>0</v>
      </c>
    </row>
    <row r="31" spans="1:25" s="259" customFormat="1" ht="13.5" customHeight="1" thickBot="1">
      <c r="A31" s="327">
        <v>22</v>
      </c>
      <c r="B31" s="330"/>
      <c r="C31" s="289"/>
      <c r="D31" s="265"/>
      <c r="E31" s="329" t="s">
        <v>655</v>
      </c>
      <c r="F31" s="328">
        <v>0</v>
      </c>
      <c r="G31" s="328">
        <v>0</v>
      </c>
      <c r="H31" s="328">
        <v>0</v>
      </c>
      <c r="I31" s="328">
        <v>0</v>
      </c>
      <c r="J31" s="328">
        <v>0</v>
      </c>
      <c r="K31" s="328">
        <v>0</v>
      </c>
      <c r="L31" s="328">
        <v>0</v>
      </c>
      <c r="M31" s="328">
        <v>0</v>
      </c>
      <c r="N31" s="328">
        <v>0</v>
      </c>
      <c r="O31" s="328">
        <v>0</v>
      </c>
      <c r="P31" s="328">
        <v>0</v>
      </c>
      <c r="Q31" s="328">
        <v>0</v>
      </c>
      <c r="R31" s="328">
        <v>0</v>
      </c>
      <c r="S31" s="328">
        <v>0</v>
      </c>
      <c r="T31" s="328">
        <v>0</v>
      </c>
      <c r="U31" s="328">
        <v>0</v>
      </c>
      <c r="V31" s="328">
        <v>0</v>
      </c>
      <c r="W31" s="328">
        <v>0</v>
      </c>
      <c r="X31" s="328">
        <v>0</v>
      </c>
      <c r="Y31" s="328">
        <v>0</v>
      </c>
    </row>
    <row r="32" spans="1:25" s="259" customFormat="1" ht="26.25" customHeight="1" thickBot="1">
      <c r="A32" s="327">
        <v>23</v>
      </c>
      <c r="B32" s="318" t="s">
        <v>654</v>
      </c>
      <c r="C32" s="318">
        <v>5.0000000000000001E-3</v>
      </c>
      <c r="D32" s="222"/>
      <c r="E32" s="326" t="s">
        <v>653</v>
      </c>
      <c r="F32" s="325" t="s">
        <v>502</v>
      </c>
      <c r="G32" s="325" t="s">
        <v>502</v>
      </c>
      <c r="H32" s="325" t="s">
        <v>502</v>
      </c>
      <c r="I32" s="325" t="s">
        <v>502</v>
      </c>
      <c r="J32" s="325" t="s">
        <v>502</v>
      </c>
      <c r="K32" s="325" t="s">
        <v>502</v>
      </c>
      <c r="L32" s="325" t="s">
        <v>502</v>
      </c>
      <c r="M32" s="325" t="s">
        <v>502</v>
      </c>
      <c r="N32" s="325" t="s">
        <v>502</v>
      </c>
      <c r="O32" s="325" t="s">
        <v>502</v>
      </c>
      <c r="P32" s="325" t="s">
        <v>502</v>
      </c>
      <c r="Q32" s="325" t="s">
        <v>502</v>
      </c>
      <c r="R32" s="325" t="s">
        <v>502</v>
      </c>
      <c r="S32" s="325" t="s">
        <v>502</v>
      </c>
      <c r="T32" s="325" t="s">
        <v>502</v>
      </c>
      <c r="U32" s="325" t="s">
        <v>502</v>
      </c>
      <c r="V32" s="325" t="s">
        <v>502</v>
      </c>
      <c r="W32" s="325" t="s">
        <v>502</v>
      </c>
      <c r="X32" s="325" t="s">
        <v>502</v>
      </c>
      <c r="Y32" s="325" t="s">
        <v>502</v>
      </c>
    </row>
    <row r="33" spans="1:25" s="259" customFormat="1" hidden="1">
      <c r="A33" s="315"/>
      <c r="B33" s="222"/>
      <c r="C33" s="424" t="s">
        <v>410</v>
      </c>
      <c r="D33" s="425" t="s">
        <v>408</v>
      </c>
      <c r="E33" s="324" t="s">
        <v>652</v>
      </c>
      <c r="F33" s="315">
        <f t="shared" ref="F33:Y33" si="7">INDEX(Base_GS_runoff, MATCH(F$9,$B$226:$B$230,0), MATCH(F$10,$C$225:$E$225,0))</f>
        <v>1.0249999999999999</v>
      </c>
      <c r="G33" s="315">
        <f t="shared" si="7"/>
        <v>1.0249999999999999</v>
      </c>
      <c r="H33" s="315">
        <f t="shared" si="7"/>
        <v>1.0249999999999999</v>
      </c>
      <c r="I33" s="315">
        <f t="shared" si="7"/>
        <v>1.0249999999999999</v>
      </c>
      <c r="J33" s="315">
        <f t="shared" si="7"/>
        <v>1.0249999999999999</v>
      </c>
      <c r="K33" s="315">
        <f t="shared" si="7"/>
        <v>1.0249999999999999</v>
      </c>
      <c r="L33" s="315">
        <f t="shared" si="7"/>
        <v>1.0249999999999999</v>
      </c>
      <c r="M33" s="315">
        <f t="shared" si="7"/>
        <v>1.0249999999999999</v>
      </c>
      <c r="N33" s="315">
        <f t="shared" si="7"/>
        <v>1.0249999999999999</v>
      </c>
      <c r="O33" s="315">
        <f t="shared" si="7"/>
        <v>1.0249999999999999</v>
      </c>
      <c r="P33" s="315">
        <f t="shared" si="7"/>
        <v>1.0249999999999999</v>
      </c>
      <c r="Q33" s="315">
        <f t="shared" si="7"/>
        <v>1.0249999999999999</v>
      </c>
      <c r="R33" s="315">
        <f t="shared" si="7"/>
        <v>1.0249999999999999</v>
      </c>
      <c r="S33" s="315">
        <f t="shared" si="7"/>
        <v>1.0249999999999999</v>
      </c>
      <c r="T33" s="315">
        <f t="shared" si="7"/>
        <v>1.0249999999999999</v>
      </c>
      <c r="U33" s="315">
        <f t="shared" si="7"/>
        <v>1.0249999999999999</v>
      </c>
      <c r="V33" s="315">
        <f t="shared" si="7"/>
        <v>1.0249999999999999</v>
      </c>
      <c r="W33" s="315">
        <f t="shared" si="7"/>
        <v>1.0249999999999999</v>
      </c>
      <c r="X33" s="315">
        <f t="shared" si="7"/>
        <v>1.0249999999999999</v>
      </c>
      <c r="Y33" s="315">
        <f t="shared" si="7"/>
        <v>1.0249999999999999</v>
      </c>
    </row>
    <row r="34" spans="1:25" s="259" customFormat="1" hidden="1">
      <c r="A34" s="315"/>
      <c r="B34" s="322" t="s">
        <v>651</v>
      </c>
      <c r="C34" s="318">
        <v>6.56</v>
      </c>
      <c r="D34" s="222">
        <v>10.87</v>
      </c>
      <c r="E34" s="315" t="s">
        <v>650</v>
      </c>
      <c r="F34" s="323">
        <f t="shared" ref="F34:Y34" si="8">INDEX(March_snow_eq, MATCH(F$9,$B$246:$B$250,0), MATCH(F$10,$C$245:$E$245,0))/Snowmelt_runoff_factor</f>
        <v>0.8125</v>
      </c>
      <c r="G34" s="323">
        <f t="shared" si="8"/>
        <v>0.8125</v>
      </c>
      <c r="H34" s="323">
        <f t="shared" si="8"/>
        <v>0.8125</v>
      </c>
      <c r="I34" s="323">
        <f t="shared" si="8"/>
        <v>0.8125</v>
      </c>
      <c r="J34" s="323">
        <f t="shared" si="8"/>
        <v>0.8125</v>
      </c>
      <c r="K34" s="323">
        <f t="shared" si="8"/>
        <v>0.8125</v>
      </c>
      <c r="L34" s="323">
        <f t="shared" si="8"/>
        <v>0.8125</v>
      </c>
      <c r="M34" s="323">
        <f t="shared" si="8"/>
        <v>0.8125</v>
      </c>
      <c r="N34" s="323">
        <f t="shared" si="8"/>
        <v>0.8125</v>
      </c>
      <c r="O34" s="323">
        <f t="shared" si="8"/>
        <v>0.8125</v>
      </c>
      <c r="P34" s="323">
        <f t="shared" si="8"/>
        <v>0.8125</v>
      </c>
      <c r="Q34" s="323">
        <f t="shared" si="8"/>
        <v>0.8125</v>
      </c>
      <c r="R34" s="323">
        <f t="shared" si="8"/>
        <v>0.8125</v>
      </c>
      <c r="S34" s="323">
        <f t="shared" si="8"/>
        <v>0.8125</v>
      </c>
      <c r="T34" s="323">
        <f t="shared" si="8"/>
        <v>0.8125</v>
      </c>
      <c r="U34" s="323">
        <f t="shared" si="8"/>
        <v>0.8125</v>
      </c>
      <c r="V34" s="323">
        <f t="shared" si="8"/>
        <v>0.8125</v>
      </c>
      <c r="W34" s="323">
        <f t="shared" si="8"/>
        <v>0.8125</v>
      </c>
      <c r="X34" s="323">
        <f t="shared" si="8"/>
        <v>0.8125</v>
      </c>
      <c r="Y34" s="323">
        <f t="shared" si="8"/>
        <v>0.8125</v>
      </c>
    </row>
    <row r="35" spans="1:25" s="259" customFormat="1" hidden="1">
      <c r="A35" s="315"/>
      <c r="B35" s="322" t="s">
        <v>649</v>
      </c>
      <c r="C35" s="318">
        <v>650</v>
      </c>
      <c r="D35" s="222">
        <v>760</v>
      </c>
      <c r="E35" s="315" t="s">
        <v>648</v>
      </c>
      <c r="F35" s="314">
        <f t="shared" ref="F35:Y35" si="9">($C$40+$C$39*F$78)*$C$41</f>
        <v>0.06</v>
      </c>
      <c r="G35" s="314">
        <f t="shared" si="9"/>
        <v>0.06</v>
      </c>
      <c r="H35" s="314">
        <f t="shared" si="9"/>
        <v>0.06</v>
      </c>
      <c r="I35" s="314">
        <f t="shared" si="9"/>
        <v>0.06</v>
      </c>
      <c r="J35" s="314">
        <f t="shared" si="9"/>
        <v>0.06</v>
      </c>
      <c r="K35" s="314">
        <f t="shared" si="9"/>
        <v>0.06</v>
      </c>
      <c r="L35" s="314">
        <f t="shared" si="9"/>
        <v>0.06</v>
      </c>
      <c r="M35" s="314">
        <f t="shared" si="9"/>
        <v>0.06</v>
      </c>
      <c r="N35" s="314">
        <f t="shared" si="9"/>
        <v>0.06</v>
      </c>
      <c r="O35" s="314">
        <f t="shared" si="9"/>
        <v>0.06</v>
      </c>
      <c r="P35" s="314">
        <f t="shared" si="9"/>
        <v>0.06</v>
      </c>
      <c r="Q35" s="314">
        <f t="shared" si="9"/>
        <v>0.06</v>
      </c>
      <c r="R35" s="314">
        <f t="shared" si="9"/>
        <v>0.06</v>
      </c>
      <c r="S35" s="314">
        <f t="shared" si="9"/>
        <v>0.06</v>
      </c>
      <c r="T35" s="314">
        <f t="shared" si="9"/>
        <v>0.06</v>
      </c>
      <c r="U35" s="314">
        <f t="shared" si="9"/>
        <v>0.06</v>
      </c>
      <c r="V35" s="314">
        <f t="shared" si="9"/>
        <v>0.06</v>
      </c>
      <c r="W35" s="314">
        <f t="shared" si="9"/>
        <v>0.06</v>
      </c>
      <c r="X35" s="314">
        <f t="shared" si="9"/>
        <v>0.06</v>
      </c>
      <c r="Y35" s="314">
        <f t="shared" si="9"/>
        <v>0.06</v>
      </c>
    </row>
    <row r="36" spans="1:25" s="259" customFormat="1" hidden="1">
      <c r="A36" s="315"/>
      <c r="B36" s="322" t="s">
        <v>647</v>
      </c>
      <c r="C36" s="318">
        <v>2000</v>
      </c>
      <c r="D36" s="318"/>
      <c r="E36" s="315" t="s">
        <v>646</v>
      </c>
      <c r="F36" s="314">
        <f t="shared" ref="F36:Y36" si="10">((F13*F82*F86)+(F18*F91*F95))*Manure_runoff_factor*0.44*F114*F115</f>
        <v>0</v>
      </c>
      <c r="G36" s="314">
        <f t="shared" si="10"/>
        <v>0</v>
      </c>
      <c r="H36" s="314">
        <f t="shared" si="10"/>
        <v>0</v>
      </c>
      <c r="I36" s="314">
        <f t="shared" si="10"/>
        <v>0</v>
      </c>
      <c r="J36" s="314">
        <f t="shared" si="10"/>
        <v>0</v>
      </c>
      <c r="K36" s="314">
        <f t="shared" si="10"/>
        <v>0</v>
      </c>
      <c r="L36" s="314">
        <f t="shared" si="10"/>
        <v>0</v>
      </c>
      <c r="M36" s="314">
        <f t="shared" si="10"/>
        <v>0</v>
      </c>
      <c r="N36" s="314">
        <f t="shared" si="10"/>
        <v>0</v>
      </c>
      <c r="O36" s="314">
        <f t="shared" si="10"/>
        <v>0</v>
      </c>
      <c r="P36" s="314">
        <f t="shared" si="10"/>
        <v>0</v>
      </c>
      <c r="Q36" s="314">
        <f t="shared" si="10"/>
        <v>0</v>
      </c>
      <c r="R36" s="314">
        <f t="shared" si="10"/>
        <v>0</v>
      </c>
      <c r="S36" s="314">
        <f t="shared" si="10"/>
        <v>0</v>
      </c>
      <c r="T36" s="314">
        <f t="shared" si="10"/>
        <v>0</v>
      </c>
      <c r="U36" s="314">
        <f t="shared" si="10"/>
        <v>0</v>
      </c>
      <c r="V36" s="314">
        <f t="shared" si="10"/>
        <v>0</v>
      </c>
      <c r="W36" s="314">
        <f t="shared" si="10"/>
        <v>0</v>
      </c>
      <c r="X36" s="314">
        <f t="shared" si="10"/>
        <v>0</v>
      </c>
      <c r="Y36" s="314">
        <f t="shared" si="10"/>
        <v>0</v>
      </c>
    </row>
    <row r="37" spans="1:25" s="259" customFormat="1" hidden="1">
      <c r="A37" s="315"/>
      <c r="B37" s="321" t="s">
        <v>645</v>
      </c>
      <c r="C37" s="318">
        <v>0.2</v>
      </c>
      <c r="D37" s="318"/>
      <c r="E37" s="315" t="s">
        <v>644</v>
      </c>
      <c r="F37" s="314">
        <f t="shared" ref="F37:Y37" si="11">F23*0.44*Fertilizer_runoff_factor*F114*F103*F104</f>
        <v>0</v>
      </c>
      <c r="G37" s="314">
        <f t="shared" si="11"/>
        <v>0</v>
      </c>
      <c r="H37" s="314">
        <f t="shared" si="11"/>
        <v>0</v>
      </c>
      <c r="I37" s="314">
        <f t="shared" si="11"/>
        <v>0</v>
      </c>
      <c r="J37" s="314">
        <f t="shared" si="11"/>
        <v>0</v>
      </c>
      <c r="K37" s="314">
        <f t="shared" si="11"/>
        <v>0</v>
      </c>
      <c r="L37" s="314">
        <f t="shared" si="11"/>
        <v>0</v>
      </c>
      <c r="M37" s="314">
        <f t="shared" si="11"/>
        <v>0</v>
      </c>
      <c r="N37" s="314">
        <f t="shared" si="11"/>
        <v>0</v>
      </c>
      <c r="O37" s="314">
        <f t="shared" si="11"/>
        <v>0</v>
      </c>
      <c r="P37" s="314">
        <f t="shared" si="11"/>
        <v>0</v>
      </c>
      <c r="Q37" s="314">
        <f t="shared" si="11"/>
        <v>0</v>
      </c>
      <c r="R37" s="314">
        <f t="shared" si="11"/>
        <v>0</v>
      </c>
      <c r="S37" s="314">
        <f t="shared" si="11"/>
        <v>0</v>
      </c>
      <c r="T37" s="314">
        <f t="shared" si="11"/>
        <v>0</v>
      </c>
      <c r="U37" s="314">
        <f t="shared" si="11"/>
        <v>0</v>
      </c>
      <c r="V37" s="314">
        <f t="shared" si="11"/>
        <v>0</v>
      </c>
      <c r="W37" s="314">
        <f t="shared" si="11"/>
        <v>0</v>
      </c>
      <c r="X37" s="314">
        <f t="shared" si="11"/>
        <v>0</v>
      </c>
      <c r="Y37" s="314">
        <f t="shared" si="11"/>
        <v>0</v>
      </c>
    </row>
    <row r="38" spans="1:25" s="259" customFormat="1" hidden="1">
      <c r="A38" s="315"/>
      <c r="B38" s="318"/>
      <c r="C38" s="318"/>
      <c r="D38" s="318"/>
      <c r="E38" s="315" t="s">
        <v>643</v>
      </c>
      <c r="F38" s="315">
        <f t="shared" ref="F38:Y38" si="12">IF(F30&gt;F29,NA(),IF(F30&lt;=5,F29,F29-F30))</f>
        <v>0</v>
      </c>
      <c r="G38" s="315">
        <f t="shared" si="12"/>
        <v>0</v>
      </c>
      <c r="H38" s="315">
        <f t="shared" si="12"/>
        <v>0</v>
      </c>
      <c r="I38" s="315">
        <f t="shared" si="12"/>
        <v>0</v>
      </c>
      <c r="J38" s="315">
        <f t="shared" si="12"/>
        <v>0</v>
      </c>
      <c r="K38" s="315">
        <f t="shared" si="12"/>
        <v>0</v>
      </c>
      <c r="L38" s="315">
        <f t="shared" si="12"/>
        <v>0</v>
      </c>
      <c r="M38" s="315">
        <f t="shared" si="12"/>
        <v>0</v>
      </c>
      <c r="N38" s="315">
        <f t="shared" si="12"/>
        <v>0</v>
      </c>
      <c r="O38" s="315">
        <f t="shared" si="12"/>
        <v>0</v>
      </c>
      <c r="P38" s="315">
        <f t="shared" si="12"/>
        <v>0</v>
      </c>
      <c r="Q38" s="315">
        <f t="shared" si="12"/>
        <v>0</v>
      </c>
      <c r="R38" s="315">
        <f t="shared" si="12"/>
        <v>0</v>
      </c>
      <c r="S38" s="315">
        <f t="shared" si="12"/>
        <v>0</v>
      </c>
      <c r="T38" s="315">
        <f t="shared" si="12"/>
        <v>0</v>
      </c>
      <c r="U38" s="315">
        <f t="shared" si="12"/>
        <v>0</v>
      </c>
      <c r="V38" s="315">
        <f t="shared" si="12"/>
        <v>0</v>
      </c>
      <c r="W38" s="315">
        <f t="shared" si="12"/>
        <v>0</v>
      </c>
      <c r="X38" s="315">
        <f t="shared" si="12"/>
        <v>0</v>
      </c>
      <c r="Y38" s="315">
        <f t="shared" si="12"/>
        <v>0</v>
      </c>
    </row>
    <row r="39" spans="1:25" s="259" customFormat="1" hidden="1">
      <c r="A39" s="315"/>
      <c r="B39" s="321" t="s">
        <v>642</v>
      </c>
      <c r="C39" s="311">
        <v>7.0499999999999998E-3</v>
      </c>
      <c r="D39" s="318"/>
      <c r="E39" s="315" t="s">
        <v>641</v>
      </c>
      <c r="F39" s="314">
        <f t="shared" ref="F39:Y39" si="13">F61</f>
        <v>1</v>
      </c>
      <c r="G39" s="314">
        <f t="shared" si="13"/>
        <v>1</v>
      </c>
      <c r="H39" s="314">
        <f t="shared" si="13"/>
        <v>1</v>
      </c>
      <c r="I39" s="314">
        <f t="shared" si="13"/>
        <v>1</v>
      </c>
      <c r="J39" s="314">
        <f t="shared" si="13"/>
        <v>1</v>
      </c>
      <c r="K39" s="314">
        <f t="shared" si="13"/>
        <v>1</v>
      </c>
      <c r="L39" s="314">
        <f t="shared" si="13"/>
        <v>1</v>
      </c>
      <c r="M39" s="314">
        <f t="shared" si="13"/>
        <v>1</v>
      </c>
      <c r="N39" s="314">
        <f t="shared" si="13"/>
        <v>1</v>
      </c>
      <c r="O39" s="314">
        <f t="shared" si="13"/>
        <v>1</v>
      </c>
      <c r="P39" s="314">
        <f t="shared" si="13"/>
        <v>1</v>
      </c>
      <c r="Q39" s="314">
        <f t="shared" si="13"/>
        <v>1</v>
      </c>
      <c r="R39" s="314">
        <f t="shared" si="13"/>
        <v>1</v>
      </c>
      <c r="S39" s="314">
        <f t="shared" si="13"/>
        <v>1</v>
      </c>
      <c r="T39" s="314">
        <f t="shared" si="13"/>
        <v>1</v>
      </c>
      <c r="U39" s="314">
        <f t="shared" si="13"/>
        <v>1</v>
      </c>
      <c r="V39" s="314">
        <f t="shared" si="13"/>
        <v>1</v>
      </c>
      <c r="W39" s="314">
        <f t="shared" si="13"/>
        <v>1</v>
      </c>
      <c r="X39" s="314">
        <f t="shared" si="13"/>
        <v>1</v>
      </c>
      <c r="Y39" s="314">
        <f t="shared" si="13"/>
        <v>1</v>
      </c>
    </row>
    <row r="40" spans="1:25" s="259" customFormat="1" hidden="1">
      <c r="A40" s="315"/>
      <c r="B40" s="321" t="s">
        <v>640</v>
      </c>
      <c r="C40" s="311">
        <v>0.03</v>
      </c>
      <c r="D40" s="318"/>
      <c r="E40" s="315" t="s">
        <v>639</v>
      </c>
      <c r="F40" s="315" t="str">
        <f t="shared" ref="F40:Y40" si="14">INDEX($B$276:$E$466,MATCH(F26,Soil_series,0),2)</f>
        <v>A</v>
      </c>
      <c r="G40" s="315" t="str">
        <f t="shared" si="14"/>
        <v>A</v>
      </c>
      <c r="H40" s="315" t="str">
        <f t="shared" si="14"/>
        <v>A</v>
      </c>
      <c r="I40" s="315" t="str">
        <f t="shared" si="14"/>
        <v>A</v>
      </c>
      <c r="J40" s="315" t="str">
        <f t="shared" si="14"/>
        <v>A</v>
      </c>
      <c r="K40" s="315" t="str">
        <f t="shared" si="14"/>
        <v>A</v>
      </c>
      <c r="L40" s="315" t="str">
        <f t="shared" si="14"/>
        <v>A</v>
      </c>
      <c r="M40" s="315" t="str">
        <f t="shared" si="14"/>
        <v>A</v>
      </c>
      <c r="N40" s="315" t="str">
        <f t="shared" si="14"/>
        <v>A</v>
      </c>
      <c r="O40" s="315" t="str">
        <f t="shared" si="14"/>
        <v>A</v>
      </c>
      <c r="P40" s="315" t="str">
        <f t="shared" si="14"/>
        <v>A</v>
      </c>
      <c r="Q40" s="315" t="str">
        <f t="shared" si="14"/>
        <v>A</v>
      </c>
      <c r="R40" s="315" t="str">
        <f t="shared" si="14"/>
        <v>A</v>
      </c>
      <c r="S40" s="315" t="str">
        <f t="shared" si="14"/>
        <v>A</v>
      </c>
      <c r="T40" s="315" t="str">
        <f t="shared" si="14"/>
        <v>A</v>
      </c>
      <c r="U40" s="315" t="str">
        <f t="shared" si="14"/>
        <v>A</v>
      </c>
      <c r="V40" s="315" t="str">
        <f t="shared" si="14"/>
        <v>A</v>
      </c>
      <c r="W40" s="315" t="str">
        <f t="shared" si="14"/>
        <v>A</v>
      </c>
      <c r="X40" s="315" t="str">
        <f t="shared" si="14"/>
        <v>A</v>
      </c>
      <c r="Y40" s="315" t="str">
        <f t="shared" si="14"/>
        <v>A</v>
      </c>
    </row>
    <row r="41" spans="1:25" s="259" customFormat="1" hidden="1">
      <c r="A41" s="315"/>
      <c r="B41" s="319" t="s">
        <v>638</v>
      </c>
      <c r="C41" s="318">
        <v>2</v>
      </c>
      <c r="D41" s="318"/>
      <c r="E41" s="315" t="s">
        <v>438</v>
      </c>
      <c r="F41" s="315" t="str">
        <f t="shared" ref="F41:Y41" si="15">INDEX($B$276:$E$466,MATCH(F26,Soil_series,0),4)</f>
        <v>Non-clay</v>
      </c>
      <c r="G41" s="315" t="str">
        <f t="shared" si="15"/>
        <v>Non-clay</v>
      </c>
      <c r="H41" s="315" t="str">
        <f t="shared" si="15"/>
        <v>Non-clay</v>
      </c>
      <c r="I41" s="315" t="str">
        <f t="shared" si="15"/>
        <v>Non-clay</v>
      </c>
      <c r="J41" s="315" t="str">
        <f t="shared" si="15"/>
        <v>Non-clay</v>
      </c>
      <c r="K41" s="315" t="str">
        <f t="shared" si="15"/>
        <v>Non-clay</v>
      </c>
      <c r="L41" s="315" t="str">
        <f t="shared" si="15"/>
        <v>Non-clay</v>
      </c>
      <c r="M41" s="315" t="str">
        <f t="shared" si="15"/>
        <v>Non-clay</v>
      </c>
      <c r="N41" s="315" t="str">
        <f t="shared" si="15"/>
        <v>Non-clay</v>
      </c>
      <c r="O41" s="315" t="str">
        <f t="shared" si="15"/>
        <v>Non-clay</v>
      </c>
      <c r="P41" s="315" t="str">
        <f t="shared" si="15"/>
        <v>Non-clay</v>
      </c>
      <c r="Q41" s="315" t="str">
        <f t="shared" si="15"/>
        <v>Non-clay</v>
      </c>
      <c r="R41" s="315" t="str">
        <f t="shared" si="15"/>
        <v>Non-clay</v>
      </c>
      <c r="S41" s="315" t="str">
        <f t="shared" si="15"/>
        <v>Non-clay</v>
      </c>
      <c r="T41" s="315" t="str">
        <f t="shared" si="15"/>
        <v>Non-clay</v>
      </c>
      <c r="U41" s="315" t="str">
        <f t="shared" si="15"/>
        <v>Non-clay</v>
      </c>
      <c r="V41" s="315" t="str">
        <f t="shared" si="15"/>
        <v>Non-clay</v>
      </c>
      <c r="W41" s="315" t="str">
        <f t="shared" si="15"/>
        <v>Non-clay</v>
      </c>
      <c r="X41" s="315" t="str">
        <f t="shared" si="15"/>
        <v>Non-clay</v>
      </c>
      <c r="Y41" s="315" t="str">
        <f t="shared" si="15"/>
        <v>Non-clay</v>
      </c>
    </row>
    <row r="42" spans="1:25" s="259" customFormat="1" ht="12.75" hidden="1" customHeight="1">
      <c r="A42" s="315"/>
      <c r="B42" s="318"/>
      <c r="C42" s="318"/>
      <c r="D42" s="318"/>
      <c r="E42" s="315" t="s">
        <v>637</v>
      </c>
      <c r="F42" s="314">
        <f t="shared" ref="F42:Y42" si="16">IF(F$73=1, INDEX($B$146:$E$155, MATCH(F$28,$B$146:$B$155,), MATCH(F$27,$B$145:$E$145,)),IF(F$73=2, INDEX($B$158:$E$167, MATCH(F$28,$B$158:$B$167,), MATCH(F$27,$B$157:$E$157,)),IF(F$73=3, INDEX($B$170:$E$179, MATCH(F$28,$B$170:$B$179,), MATCH(F$27,$B$169:$E$169,)),IF(F$73=4, INDEX($B$182:$E$191, MATCH(F$28,$B$182:$B$191,), MATCH(F$27,$B$181:$E$181,)),"Bad value"))))</f>
        <v>0.42</v>
      </c>
      <c r="G42" s="314">
        <f t="shared" si="16"/>
        <v>0.42</v>
      </c>
      <c r="H42" s="314">
        <f t="shared" si="16"/>
        <v>0.42</v>
      </c>
      <c r="I42" s="314">
        <f t="shared" si="16"/>
        <v>0.42</v>
      </c>
      <c r="J42" s="314">
        <f t="shared" si="16"/>
        <v>0.42</v>
      </c>
      <c r="K42" s="314">
        <f t="shared" si="16"/>
        <v>0.42</v>
      </c>
      <c r="L42" s="314">
        <f t="shared" si="16"/>
        <v>0.42</v>
      </c>
      <c r="M42" s="314">
        <f t="shared" si="16"/>
        <v>0.42</v>
      </c>
      <c r="N42" s="314">
        <f t="shared" si="16"/>
        <v>0.42</v>
      </c>
      <c r="O42" s="314">
        <f t="shared" si="16"/>
        <v>0.42</v>
      </c>
      <c r="P42" s="314">
        <f t="shared" si="16"/>
        <v>0.42</v>
      </c>
      <c r="Q42" s="314">
        <f t="shared" si="16"/>
        <v>0.42</v>
      </c>
      <c r="R42" s="314">
        <f t="shared" si="16"/>
        <v>0.42</v>
      </c>
      <c r="S42" s="314">
        <f t="shared" si="16"/>
        <v>0.42</v>
      </c>
      <c r="T42" s="314">
        <f t="shared" si="16"/>
        <v>0.42</v>
      </c>
      <c r="U42" s="314">
        <f t="shared" si="16"/>
        <v>0.42</v>
      </c>
      <c r="V42" s="314">
        <f t="shared" si="16"/>
        <v>0.42</v>
      </c>
      <c r="W42" s="314">
        <f t="shared" si="16"/>
        <v>0.42</v>
      </c>
      <c r="X42" s="314">
        <f t="shared" si="16"/>
        <v>0.42</v>
      </c>
      <c r="Y42" s="314">
        <f t="shared" si="16"/>
        <v>0.42</v>
      </c>
    </row>
    <row r="43" spans="1:25" s="259" customFormat="1" hidden="1">
      <c r="A43" s="315"/>
      <c r="B43" s="319" t="s">
        <v>636</v>
      </c>
      <c r="C43" s="318">
        <v>0.02</v>
      </c>
      <c r="D43" s="318"/>
      <c r="E43" s="315" t="s">
        <v>635</v>
      </c>
      <c r="F43" s="314">
        <f t="shared" ref="F43:Y43" si="17">MAX(0.7,F76)</f>
        <v>1</v>
      </c>
      <c r="G43" s="314">
        <f t="shared" si="17"/>
        <v>1</v>
      </c>
      <c r="H43" s="314">
        <f t="shared" si="17"/>
        <v>1</v>
      </c>
      <c r="I43" s="314">
        <f t="shared" si="17"/>
        <v>1</v>
      </c>
      <c r="J43" s="314">
        <f t="shared" si="17"/>
        <v>1</v>
      </c>
      <c r="K43" s="314">
        <f t="shared" si="17"/>
        <v>1</v>
      </c>
      <c r="L43" s="314">
        <f t="shared" si="17"/>
        <v>1</v>
      </c>
      <c r="M43" s="314">
        <f t="shared" si="17"/>
        <v>1</v>
      </c>
      <c r="N43" s="314">
        <f t="shared" si="17"/>
        <v>1</v>
      </c>
      <c r="O43" s="314">
        <f t="shared" si="17"/>
        <v>1</v>
      </c>
      <c r="P43" s="314">
        <f t="shared" si="17"/>
        <v>1</v>
      </c>
      <c r="Q43" s="314">
        <f t="shared" si="17"/>
        <v>1</v>
      </c>
      <c r="R43" s="314">
        <f t="shared" si="17"/>
        <v>1</v>
      </c>
      <c r="S43" s="314">
        <f t="shared" si="17"/>
        <v>1</v>
      </c>
      <c r="T43" s="314">
        <f t="shared" si="17"/>
        <v>1</v>
      </c>
      <c r="U43" s="314">
        <f t="shared" si="17"/>
        <v>1</v>
      </c>
      <c r="V43" s="314">
        <f t="shared" si="17"/>
        <v>1</v>
      </c>
      <c r="W43" s="314">
        <f t="shared" si="17"/>
        <v>1</v>
      </c>
      <c r="X43" s="314">
        <f t="shared" si="17"/>
        <v>1</v>
      </c>
      <c r="Y43" s="314">
        <f t="shared" si="17"/>
        <v>1</v>
      </c>
    </row>
    <row r="44" spans="1:25" s="259" customFormat="1" hidden="1">
      <c r="A44" s="315"/>
      <c r="B44" s="319" t="s">
        <v>634</v>
      </c>
      <c r="C44" s="318">
        <f>Manure_runoff_factor</f>
        <v>0.02</v>
      </c>
      <c r="D44" s="310"/>
      <c r="E44" s="315" t="s">
        <v>633</v>
      </c>
      <c r="F44" s="320">
        <f t="shared" ref="F44:Y44" si="18">MIN(F110,F111)</f>
        <v>760</v>
      </c>
      <c r="G44" s="320">
        <f t="shared" si="18"/>
        <v>760</v>
      </c>
      <c r="H44" s="320">
        <f t="shared" si="18"/>
        <v>760</v>
      </c>
      <c r="I44" s="320">
        <f t="shared" si="18"/>
        <v>760</v>
      </c>
      <c r="J44" s="320">
        <f t="shared" si="18"/>
        <v>760</v>
      </c>
      <c r="K44" s="320">
        <f t="shared" si="18"/>
        <v>760</v>
      </c>
      <c r="L44" s="320">
        <f t="shared" si="18"/>
        <v>760</v>
      </c>
      <c r="M44" s="320">
        <f t="shared" si="18"/>
        <v>760</v>
      </c>
      <c r="N44" s="320">
        <f t="shared" si="18"/>
        <v>760</v>
      </c>
      <c r="O44" s="320">
        <f t="shared" si="18"/>
        <v>760</v>
      </c>
      <c r="P44" s="320">
        <f t="shared" si="18"/>
        <v>760</v>
      </c>
      <c r="Q44" s="320">
        <f t="shared" si="18"/>
        <v>760</v>
      </c>
      <c r="R44" s="320">
        <f t="shared" si="18"/>
        <v>760</v>
      </c>
      <c r="S44" s="320">
        <f t="shared" si="18"/>
        <v>760</v>
      </c>
      <c r="T44" s="320">
        <f t="shared" si="18"/>
        <v>760</v>
      </c>
      <c r="U44" s="320">
        <f t="shared" si="18"/>
        <v>760</v>
      </c>
      <c r="V44" s="320">
        <f t="shared" si="18"/>
        <v>760</v>
      </c>
      <c r="W44" s="320">
        <f t="shared" si="18"/>
        <v>760</v>
      </c>
      <c r="X44" s="320">
        <f t="shared" si="18"/>
        <v>760</v>
      </c>
      <c r="Y44" s="320">
        <f t="shared" si="18"/>
        <v>760</v>
      </c>
    </row>
    <row r="45" spans="1:25" s="259" customFormat="1" ht="12.75" hidden="1" customHeight="1">
      <c r="A45" s="315"/>
      <c r="B45" s="319" t="s">
        <v>632</v>
      </c>
      <c r="C45" s="310">
        <v>1</v>
      </c>
      <c r="D45" s="310"/>
      <c r="E45" s="315" t="s">
        <v>631</v>
      </c>
      <c r="F45" s="314">
        <f t="shared" ref="F45:Y45" si="19">$C$32*(F13*F86+F18*F95)*0.44*F77</f>
        <v>0</v>
      </c>
      <c r="G45" s="314">
        <f t="shared" si="19"/>
        <v>0</v>
      </c>
      <c r="H45" s="314">
        <f t="shared" si="19"/>
        <v>0</v>
      </c>
      <c r="I45" s="314">
        <f t="shared" si="19"/>
        <v>0</v>
      </c>
      <c r="J45" s="314">
        <f t="shared" si="19"/>
        <v>0</v>
      </c>
      <c r="K45" s="314">
        <f t="shared" si="19"/>
        <v>0</v>
      </c>
      <c r="L45" s="314">
        <f t="shared" si="19"/>
        <v>0</v>
      </c>
      <c r="M45" s="314">
        <f t="shared" si="19"/>
        <v>0</v>
      </c>
      <c r="N45" s="314">
        <f t="shared" si="19"/>
        <v>0</v>
      </c>
      <c r="O45" s="314">
        <f t="shared" si="19"/>
        <v>0</v>
      </c>
      <c r="P45" s="314">
        <f t="shared" si="19"/>
        <v>0</v>
      </c>
      <c r="Q45" s="314">
        <f t="shared" si="19"/>
        <v>0</v>
      </c>
      <c r="R45" s="314">
        <f t="shared" si="19"/>
        <v>0</v>
      </c>
      <c r="S45" s="314">
        <f t="shared" si="19"/>
        <v>0</v>
      </c>
      <c r="T45" s="314">
        <f t="shared" si="19"/>
        <v>0</v>
      </c>
      <c r="U45" s="314">
        <f t="shared" si="19"/>
        <v>0</v>
      </c>
      <c r="V45" s="314">
        <f t="shared" si="19"/>
        <v>0</v>
      </c>
      <c r="W45" s="314">
        <f t="shared" si="19"/>
        <v>0</v>
      </c>
      <c r="X45" s="314">
        <f t="shared" si="19"/>
        <v>0</v>
      </c>
      <c r="Y45" s="314">
        <f t="shared" si="19"/>
        <v>0</v>
      </c>
    </row>
    <row r="46" spans="1:25" s="259" customFormat="1" hidden="1">
      <c r="A46" s="315"/>
      <c r="B46" s="318"/>
      <c r="C46" s="318"/>
      <c r="D46" s="310"/>
      <c r="E46" s="315" t="s">
        <v>630</v>
      </c>
      <c r="F46" s="314">
        <f t="shared" ref="F46:Y46" si="20">F52*F44*F63*F39</f>
        <v>0</v>
      </c>
      <c r="G46" s="314">
        <f t="shared" si="20"/>
        <v>0</v>
      </c>
      <c r="H46" s="314">
        <f t="shared" si="20"/>
        <v>0</v>
      </c>
      <c r="I46" s="314">
        <f t="shared" si="20"/>
        <v>0</v>
      </c>
      <c r="J46" s="314">
        <f t="shared" si="20"/>
        <v>0</v>
      </c>
      <c r="K46" s="314">
        <f t="shared" si="20"/>
        <v>0</v>
      </c>
      <c r="L46" s="314">
        <f t="shared" si="20"/>
        <v>0</v>
      </c>
      <c r="M46" s="314">
        <f t="shared" si="20"/>
        <v>0</v>
      </c>
      <c r="N46" s="314">
        <f t="shared" si="20"/>
        <v>0</v>
      </c>
      <c r="O46" s="314">
        <f t="shared" si="20"/>
        <v>0</v>
      </c>
      <c r="P46" s="314">
        <f t="shared" si="20"/>
        <v>0</v>
      </c>
      <c r="Q46" s="314">
        <f t="shared" si="20"/>
        <v>0</v>
      </c>
      <c r="R46" s="314">
        <f t="shared" si="20"/>
        <v>0</v>
      </c>
      <c r="S46" s="314">
        <f t="shared" si="20"/>
        <v>0</v>
      </c>
      <c r="T46" s="314">
        <f t="shared" si="20"/>
        <v>0</v>
      </c>
      <c r="U46" s="314">
        <f t="shared" si="20"/>
        <v>0</v>
      </c>
      <c r="V46" s="314">
        <f t="shared" si="20"/>
        <v>0</v>
      </c>
      <c r="W46" s="314">
        <f t="shared" si="20"/>
        <v>0</v>
      </c>
      <c r="X46" s="314">
        <f t="shared" si="20"/>
        <v>0</v>
      </c>
      <c r="Y46" s="314">
        <f t="shared" si="20"/>
        <v>0</v>
      </c>
    </row>
    <row r="47" spans="1:25" s="259" customFormat="1" hidden="1">
      <c r="A47" s="315"/>
      <c r="B47" s="318"/>
      <c r="C47" s="318"/>
      <c r="D47" s="310"/>
      <c r="E47" s="315" t="s">
        <v>629</v>
      </c>
      <c r="F47" s="314">
        <f t="shared" ref="F47:Y47" si="21">F36*F77</f>
        <v>0</v>
      </c>
      <c r="G47" s="314">
        <f t="shared" si="21"/>
        <v>0</v>
      </c>
      <c r="H47" s="314">
        <f t="shared" si="21"/>
        <v>0</v>
      </c>
      <c r="I47" s="314">
        <f t="shared" si="21"/>
        <v>0</v>
      </c>
      <c r="J47" s="314">
        <f t="shared" si="21"/>
        <v>0</v>
      </c>
      <c r="K47" s="314">
        <f t="shared" si="21"/>
        <v>0</v>
      </c>
      <c r="L47" s="314">
        <f t="shared" si="21"/>
        <v>0</v>
      </c>
      <c r="M47" s="314">
        <f t="shared" si="21"/>
        <v>0</v>
      </c>
      <c r="N47" s="314">
        <f t="shared" si="21"/>
        <v>0</v>
      </c>
      <c r="O47" s="314">
        <f t="shared" si="21"/>
        <v>0</v>
      </c>
      <c r="P47" s="314">
        <f t="shared" si="21"/>
        <v>0</v>
      </c>
      <c r="Q47" s="314">
        <f t="shared" si="21"/>
        <v>0</v>
      </c>
      <c r="R47" s="314">
        <f t="shared" si="21"/>
        <v>0</v>
      </c>
      <c r="S47" s="314">
        <f t="shared" si="21"/>
        <v>0</v>
      </c>
      <c r="T47" s="314">
        <f t="shared" si="21"/>
        <v>0</v>
      </c>
      <c r="U47" s="314">
        <f t="shared" si="21"/>
        <v>0</v>
      </c>
      <c r="V47" s="314">
        <f t="shared" si="21"/>
        <v>0</v>
      </c>
      <c r="W47" s="314">
        <f t="shared" si="21"/>
        <v>0</v>
      </c>
      <c r="X47" s="314">
        <f t="shared" si="21"/>
        <v>0</v>
      </c>
      <c r="Y47" s="314">
        <f t="shared" si="21"/>
        <v>0</v>
      </c>
    </row>
    <row r="48" spans="1:25" s="259" customFormat="1" hidden="1">
      <c r="A48" s="315"/>
      <c r="B48" s="317" t="s">
        <v>628</v>
      </c>
      <c r="C48" s="316"/>
      <c r="D48" s="310"/>
      <c r="E48" s="315" t="s">
        <v>627</v>
      </c>
      <c r="F48" s="314">
        <f t="shared" ref="F48:Y48" si="22">F37*F43</f>
        <v>0</v>
      </c>
      <c r="G48" s="314">
        <f t="shared" si="22"/>
        <v>0</v>
      </c>
      <c r="H48" s="314">
        <f t="shared" si="22"/>
        <v>0</v>
      </c>
      <c r="I48" s="314">
        <f t="shared" si="22"/>
        <v>0</v>
      </c>
      <c r="J48" s="314">
        <f t="shared" si="22"/>
        <v>0</v>
      </c>
      <c r="K48" s="314">
        <f t="shared" si="22"/>
        <v>0</v>
      </c>
      <c r="L48" s="314">
        <f t="shared" si="22"/>
        <v>0</v>
      </c>
      <c r="M48" s="314">
        <f t="shared" si="22"/>
        <v>0</v>
      </c>
      <c r="N48" s="314">
        <f t="shared" si="22"/>
        <v>0</v>
      </c>
      <c r="O48" s="314">
        <f t="shared" si="22"/>
        <v>0</v>
      </c>
      <c r="P48" s="314">
        <f t="shared" si="22"/>
        <v>0</v>
      </c>
      <c r="Q48" s="314">
        <f t="shared" si="22"/>
        <v>0</v>
      </c>
      <c r="R48" s="314">
        <f t="shared" si="22"/>
        <v>0</v>
      </c>
      <c r="S48" s="314">
        <f t="shared" si="22"/>
        <v>0</v>
      </c>
      <c r="T48" s="314">
        <f t="shared" si="22"/>
        <v>0</v>
      </c>
      <c r="U48" s="314">
        <f t="shared" si="22"/>
        <v>0</v>
      </c>
      <c r="V48" s="314">
        <f t="shared" si="22"/>
        <v>0</v>
      </c>
      <c r="W48" s="314">
        <f t="shared" si="22"/>
        <v>0</v>
      </c>
      <c r="X48" s="314">
        <f t="shared" si="22"/>
        <v>0</v>
      </c>
      <c r="Y48" s="314">
        <f t="shared" si="22"/>
        <v>0</v>
      </c>
    </row>
    <row r="49" spans="1:25" s="259" customFormat="1" hidden="1">
      <c r="A49" s="315"/>
      <c r="B49" s="312" t="s">
        <v>626</v>
      </c>
      <c r="C49" s="311">
        <v>0.5</v>
      </c>
      <c r="D49" s="310"/>
      <c r="E49" s="315" t="s">
        <v>625</v>
      </c>
      <c r="F49" s="314">
        <f t="shared" ref="F49:Y49" si="23">(F69+F70)*F42*F35*F43</f>
        <v>1.0488545549999997E-2</v>
      </c>
      <c r="G49" s="314">
        <f t="shared" si="23"/>
        <v>1.0488545549999997E-2</v>
      </c>
      <c r="H49" s="314">
        <f t="shared" si="23"/>
        <v>1.0488545549999997E-2</v>
      </c>
      <c r="I49" s="314">
        <f t="shared" si="23"/>
        <v>1.0488545549999997E-2</v>
      </c>
      <c r="J49" s="314">
        <f t="shared" si="23"/>
        <v>1.0488545549999997E-2</v>
      </c>
      <c r="K49" s="314">
        <f t="shared" si="23"/>
        <v>1.0488545549999997E-2</v>
      </c>
      <c r="L49" s="314">
        <f t="shared" si="23"/>
        <v>1.0488545549999997E-2</v>
      </c>
      <c r="M49" s="314">
        <f t="shared" si="23"/>
        <v>1.0488545549999997E-2</v>
      </c>
      <c r="N49" s="314">
        <f t="shared" si="23"/>
        <v>1.0488545549999997E-2</v>
      </c>
      <c r="O49" s="314">
        <f t="shared" si="23"/>
        <v>1.0488545549999997E-2</v>
      </c>
      <c r="P49" s="314">
        <f t="shared" si="23"/>
        <v>1.0488545549999997E-2</v>
      </c>
      <c r="Q49" s="314">
        <f t="shared" si="23"/>
        <v>1.0488545549999997E-2</v>
      </c>
      <c r="R49" s="314">
        <f t="shared" si="23"/>
        <v>1.0488545549999997E-2</v>
      </c>
      <c r="S49" s="314">
        <f t="shared" si="23"/>
        <v>1.0488545549999997E-2</v>
      </c>
      <c r="T49" s="314">
        <f t="shared" si="23"/>
        <v>1.0488545549999997E-2</v>
      </c>
      <c r="U49" s="314">
        <f t="shared" si="23"/>
        <v>1.0488545549999997E-2</v>
      </c>
      <c r="V49" s="314">
        <f t="shared" si="23"/>
        <v>1.0488545549999997E-2</v>
      </c>
      <c r="W49" s="314">
        <f t="shared" si="23"/>
        <v>1.0488545549999997E-2</v>
      </c>
      <c r="X49" s="314">
        <f t="shared" si="23"/>
        <v>1.0488545549999997E-2</v>
      </c>
      <c r="Y49" s="314">
        <f t="shared" si="23"/>
        <v>1.0488545549999997E-2</v>
      </c>
    </row>
    <row r="50" spans="1:25" s="259" customFormat="1" hidden="1">
      <c r="A50" s="222"/>
      <c r="B50" s="312" t="s">
        <v>624</v>
      </c>
      <c r="C50" s="311">
        <v>1</v>
      </c>
      <c r="D50" s="310"/>
      <c r="E50" s="222"/>
      <c r="F50" s="222"/>
      <c r="G50" s="222"/>
      <c r="H50" s="222"/>
      <c r="I50" s="222"/>
      <c r="J50" s="222"/>
      <c r="K50" s="222"/>
      <c r="L50" s="222"/>
      <c r="M50" s="222"/>
      <c r="N50" s="222"/>
      <c r="O50" s="222"/>
      <c r="P50" s="222"/>
      <c r="Q50" s="222"/>
      <c r="R50" s="222"/>
      <c r="S50" s="222"/>
      <c r="T50" s="222"/>
      <c r="U50" s="222"/>
      <c r="V50" s="222"/>
      <c r="W50" s="222"/>
      <c r="X50" s="222"/>
      <c r="Y50" s="222"/>
    </row>
    <row r="51" spans="1:25" s="259" customFormat="1" hidden="1">
      <c r="A51" s="222"/>
      <c r="B51" s="312" t="s">
        <v>623</v>
      </c>
      <c r="C51" s="311">
        <v>1.3</v>
      </c>
      <c r="D51" s="310"/>
      <c r="E51" s="313" t="s">
        <v>622</v>
      </c>
      <c r="F51" s="254"/>
      <c r="G51" s="254"/>
      <c r="H51" s="254"/>
      <c r="I51" s="254"/>
      <c r="J51" s="254"/>
      <c r="K51" s="254"/>
      <c r="L51" s="254"/>
      <c r="M51" s="254"/>
      <c r="N51" s="254"/>
      <c r="O51" s="254"/>
      <c r="P51" s="254"/>
      <c r="Q51" s="254"/>
      <c r="R51" s="254"/>
      <c r="S51" s="254"/>
      <c r="T51" s="254"/>
      <c r="U51" s="254"/>
      <c r="V51" s="254"/>
      <c r="W51" s="254"/>
      <c r="X51" s="254"/>
      <c r="Y51" s="254"/>
    </row>
    <row r="52" spans="1:25" s="259" customFormat="1" hidden="1">
      <c r="A52" s="222"/>
      <c r="B52" s="312" t="s">
        <v>621</v>
      </c>
      <c r="C52" s="311">
        <v>0.8</v>
      </c>
      <c r="D52" s="310"/>
      <c r="E52" s="309" t="s">
        <v>620</v>
      </c>
      <c r="F52" s="253">
        <f t="shared" ref="F52:Y52" si="24">F25*2000/1000000</f>
        <v>0</v>
      </c>
      <c r="G52" s="253">
        <f t="shared" si="24"/>
        <v>0</v>
      </c>
      <c r="H52" s="253">
        <f t="shared" si="24"/>
        <v>0</v>
      </c>
      <c r="I52" s="253">
        <f t="shared" si="24"/>
        <v>0</v>
      </c>
      <c r="J52" s="253">
        <f t="shared" si="24"/>
        <v>0</v>
      </c>
      <c r="K52" s="253">
        <f t="shared" si="24"/>
        <v>0</v>
      </c>
      <c r="L52" s="253">
        <f t="shared" si="24"/>
        <v>0</v>
      </c>
      <c r="M52" s="253">
        <f t="shared" si="24"/>
        <v>0</v>
      </c>
      <c r="N52" s="253">
        <f t="shared" si="24"/>
        <v>0</v>
      </c>
      <c r="O52" s="253">
        <f t="shared" si="24"/>
        <v>0</v>
      </c>
      <c r="P52" s="253">
        <f t="shared" si="24"/>
        <v>0</v>
      </c>
      <c r="Q52" s="253">
        <f t="shared" si="24"/>
        <v>0</v>
      </c>
      <c r="R52" s="253">
        <f t="shared" si="24"/>
        <v>0</v>
      </c>
      <c r="S52" s="253">
        <f t="shared" si="24"/>
        <v>0</v>
      </c>
      <c r="T52" s="253">
        <f t="shared" si="24"/>
        <v>0</v>
      </c>
      <c r="U52" s="253">
        <f t="shared" si="24"/>
        <v>0</v>
      </c>
      <c r="V52" s="253">
        <f t="shared" si="24"/>
        <v>0</v>
      </c>
      <c r="W52" s="253">
        <f t="shared" si="24"/>
        <v>0</v>
      </c>
      <c r="X52" s="253">
        <f t="shared" si="24"/>
        <v>0</v>
      </c>
      <c r="Y52" s="253">
        <f t="shared" si="24"/>
        <v>0</v>
      </c>
    </row>
    <row r="53" spans="1:25" s="259" customFormat="1" hidden="1">
      <c r="A53" s="222"/>
      <c r="B53" s="251" t="s">
        <v>594</v>
      </c>
      <c r="C53" s="253">
        <v>0</v>
      </c>
      <c r="D53" s="242"/>
      <c r="E53" s="251"/>
      <c r="F53" s="253"/>
      <c r="G53" s="253"/>
      <c r="H53" s="253"/>
      <c r="I53" s="253"/>
      <c r="J53" s="253"/>
      <c r="K53" s="253"/>
      <c r="L53" s="253"/>
      <c r="M53" s="253"/>
      <c r="N53" s="253"/>
      <c r="O53" s="253"/>
      <c r="P53" s="253"/>
      <c r="Q53" s="253"/>
      <c r="R53" s="253"/>
      <c r="S53" s="253"/>
      <c r="T53" s="253"/>
      <c r="U53" s="253"/>
      <c r="V53" s="253"/>
      <c r="W53" s="253"/>
      <c r="X53" s="253"/>
      <c r="Y53" s="253"/>
    </row>
    <row r="54" spans="1:25" s="259" customFormat="1" hidden="1">
      <c r="A54" s="222"/>
      <c r="B54" s="251"/>
      <c r="C54" s="253"/>
      <c r="D54" s="242"/>
      <c r="E54" s="281" t="s">
        <v>619</v>
      </c>
      <c r="F54" s="308">
        <f t="shared" ref="F54:Y54" si="25">IF(F30&lt;=5,1,IF(F41="Clay",1.047*EXP((-70-F30)/60)+0.7,1.744*EXP((-43-F30)/45)+0.4))</f>
        <v>1</v>
      </c>
      <c r="G54" s="308">
        <f t="shared" si="25"/>
        <v>1</v>
      </c>
      <c r="H54" s="308">
        <f t="shared" si="25"/>
        <v>1</v>
      </c>
      <c r="I54" s="308">
        <f t="shared" si="25"/>
        <v>1</v>
      </c>
      <c r="J54" s="308">
        <f t="shared" si="25"/>
        <v>1</v>
      </c>
      <c r="K54" s="308">
        <f t="shared" si="25"/>
        <v>1</v>
      </c>
      <c r="L54" s="308">
        <f t="shared" si="25"/>
        <v>1</v>
      </c>
      <c r="M54" s="308">
        <f t="shared" si="25"/>
        <v>1</v>
      </c>
      <c r="N54" s="308">
        <f t="shared" si="25"/>
        <v>1</v>
      </c>
      <c r="O54" s="308">
        <f t="shared" si="25"/>
        <v>1</v>
      </c>
      <c r="P54" s="308">
        <f t="shared" si="25"/>
        <v>1</v>
      </c>
      <c r="Q54" s="308">
        <f t="shared" si="25"/>
        <v>1</v>
      </c>
      <c r="R54" s="308">
        <f t="shared" si="25"/>
        <v>1</v>
      </c>
      <c r="S54" s="308">
        <f t="shared" si="25"/>
        <v>1</v>
      </c>
      <c r="T54" s="308">
        <f t="shared" si="25"/>
        <v>1</v>
      </c>
      <c r="U54" s="308">
        <f t="shared" si="25"/>
        <v>1</v>
      </c>
      <c r="V54" s="308">
        <f t="shared" si="25"/>
        <v>1</v>
      </c>
      <c r="W54" s="308">
        <f t="shared" si="25"/>
        <v>1</v>
      </c>
      <c r="X54" s="308">
        <f t="shared" si="25"/>
        <v>1</v>
      </c>
      <c r="Y54" s="308">
        <f t="shared" si="25"/>
        <v>1</v>
      </c>
    </row>
    <row r="55" spans="1:25" s="259" customFormat="1" hidden="1">
      <c r="A55" s="222"/>
      <c r="B55" s="251" t="s">
        <v>618</v>
      </c>
      <c r="C55" s="253"/>
      <c r="D55" s="242"/>
      <c r="E55" s="281" t="s">
        <v>617</v>
      </c>
      <c r="F55" s="308">
        <f t="shared" ref="F55:Y55" si="26">IF(F38&lt;=5,1,1.047*EXP((-70-F38)/60)+0.7)</f>
        <v>1</v>
      </c>
      <c r="G55" s="308">
        <f t="shared" si="26"/>
        <v>1</v>
      </c>
      <c r="H55" s="308">
        <f t="shared" si="26"/>
        <v>1</v>
      </c>
      <c r="I55" s="308">
        <f t="shared" si="26"/>
        <v>1</v>
      </c>
      <c r="J55" s="308">
        <f t="shared" si="26"/>
        <v>1</v>
      </c>
      <c r="K55" s="308">
        <f t="shared" si="26"/>
        <v>1</v>
      </c>
      <c r="L55" s="308">
        <f t="shared" si="26"/>
        <v>1</v>
      </c>
      <c r="M55" s="308">
        <f t="shared" si="26"/>
        <v>1</v>
      </c>
      <c r="N55" s="308">
        <f t="shared" si="26"/>
        <v>1</v>
      </c>
      <c r="O55" s="308">
        <f t="shared" si="26"/>
        <v>1</v>
      </c>
      <c r="P55" s="308">
        <f t="shared" si="26"/>
        <v>1</v>
      </c>
      <c r="Q55" s="308">
        <f t="shared" si="26"/>
        <v>1</v>
      </c>
      <c r="R55" s="308">
        <f t="shared" si="26"/>
        <v>1</v>
      </c>
      <c r="S55" s="308">
        <f t="shared" si="26"/>
        <v>1</v>
      </c>
      <c r="T55" s="308">
        <f t="shared" si="26"/>
        <v>1</v>
      </c>
      <c r="U55" s="308">
        <f t="shared" si="26"/>
        <v>1</v>
      </c>
      <c r="V55" s="308">
        <f t="shared" si="26"/>
        <v>1</v>
      </c>
      <c r="W55" s="308">
        <f t="shared" si="26"/>
        <v>1</v>
      </c>
      <c r="X55" s="308">
        <f t="shared" si="26"/>
        <v>1</v>
      </c>
      <c r="Y55" s="308">
        <f t="shared" si="26"/>
        <v>1</v>
      </c>
    </row>
    <row r="56" spans="1:25" s="259" customFormat="1" hidden="1">
      <c r="A56" s="222"/>
      <c r="B56" s="251" t="s">
        <v>616</v>
      </c>
      <c r="C56" s="253">
        <v>0</v>
      </c>
      <c r="D56" s="242"/>
      <c r="E56" s="281" t="s">
        <v>615</v>
      </c>
      <c r="F56" s="308">
        <f t="shared" ref="F56:Y56" si="27">IF(F29&lt;=5,1,1.047*EXP((-70-F29)/60)+0.7)</f>
        <v>1</v>
      </c>
      <c r="G56" s="308">
        <f t="shared" si="27"/>
        <v>1</v>
      </c>
      <c r="H56" s="308">
        <f t="shared" si="27"/>
        <v>1</v>
      </c>
      <c r="I56" s="308">
        <f t="shared" si="27"/>
        <v>1</v>
      </c>
      <c r="J56" s="308">
        <f t="shared" si="27"/>
        <v>1</v>
      </c>
      <c r="K56" s="308">
        <f t="shared" si="27"/>
        <v>1</v>
      </c>
      <c r="L56" s="308">
        <f t="shared" si="27"/>
        <v>1</v>
      </c>
      <c r="M56" s="308">
        <f t="shared" si="27"/>
        <v>1</v>
      </c>
      <c r="N56" s="308">
        <f t="shared" si="27"/>
        <v>1</v>
      </c>
      <c r="O56" s="308">
        <f t="shared" si="27"/>
        <v>1</v>
      </c>
      <c r="P56" s="308">
        <f t="shared" si="27"/>
        <v>1</v>
      </c>
      <c r="Q56" s="308">
        <f t="shared" si="27"/>
        <v>1</v>
      </c>
      <c r="R56" s="308">
        <f t="shared" si="27"/>
        <v>1</v>
      </c>
      <c r="S56" s="308">
        <f t="shared" si="27"/>
        <v>1</v>
      </c>
      <c r="T56" s="308">
        <f t="shared" si="27"/>
        <v>1</v>
      </c>
      <c r="U56" s="308">
        <f t="shared" si="27"/>
        <v>1</v>
      </c>
      <c r="V56" s="308">
        <f t="shared" si="27"/>
        <v>1</v>
      </c>
      <c r="W56" s="308">
        <f t="shared" si="27"/>
        <v>1</v>
      </c>
      <c r="X56" s="308">
        <f t="shared" si="27"/>
        <v>1</v>
      </c>
      <c r="Y56" s="308">
        <f t="shared" si="27"/>
        <v>1</v>
      </c>
    </row>
    <row r="57" spans="1:25" s="259" customFormat="1" hidden="1">
      <c r="A57" s="222"/>
      <c r="B57" s="251" t="s">
        <v>614</v>
      </c>
      <c r="C57" s="253">
        <v>0.05</v>
      </c>
      <c r="D57" s="242"/>
      <c r="E57" s="281" t="s">
        <v>613</v>
      </c>
      <c r="F57" s="308">
        <f t="shared" ref="F57:Y57" si="28">IF(F30&lt;=5,1,1.047*EXP((-70-F30)/60)+0.7)</f>
        <v>1</v>
      </c>
      <c r="G57" s="308">
        <f t="shared" si="28"/>
        <v>1</v>
      </c>
      <c r="H57" s="308">
        <f t="shared" si="28"/>
        <v>1</v>
      </c>
      <c r="I57" s="308">
        <f t="shared" si="28"/>
        <v>1</v>
      </c>
      <c r="J57" s="308">
        <f t="shared" si="28"/>
        <v>1</v>
      </c>
      <c r="K57" s="308">
        <f t="shared" si="28"/>
        <v>1</v>
      </c>
      <c r="L57" s="308">
        <f t="shared" si="28"/>
        <v>1</v>
      </c>
      <c r="M57" s="308">
        <f t="shared" si="28"/>
        <v>1</v>
      </c>
      <c r="N57" s="308">
        <f t="shared" si="28"/>
        <v>1</v>
      </c>
      <c r="O57" s="308">
        <f t="shared" si="28"/>
        <v>1</v>
      </c>
      <c r="P57" s="308">
        <f t="shared" si="28"/>
        <v>1</v>
      </c>
      <c r="Q57" s="308">
        <f t="shared" si="28"/>
        <v>1</v>
      </c>
      <c r="R57" s="308">
        <f t="shared" si="28"/>
        <v>1</v>
      </c>
      <c r="S57" s="308">
        <f t="shared" si="28"/>
        <v>1</v>
      </c>
      <c r="T57" s="308">
        <f t="shared" si="28"/>
        <v>1</v>
      </c>
      <c r="U57" s="308">
        <f t="shared" si="28"/>
        <v>1</v>
      </c>
      <c r="V57" s="308">
        <f t="shared" si="28"/>
        <v>1</v>
      </c>
      <c r="W57" s="308">
        <f t="shared" si="28"/>
        <v>1</v>
      </c>
      <c r="X57" s="308">
        <f t="shared" si="28"/>
        <v>1</v>
      </c>
      <c r="Y57" s="308">
        <f t="shared" si="28"/>
        <v>1</v>
      </c>
    </row>
    <row r="58" spans="1:25" s="259" customFormat="1" hidden="1">
      <c r="A58" s="222"/>
      <c r="B58" s="251" t="s">
        <v>612</v>
      </c>
      <c r="C58" s="253">
        <v>0.25</v>
      </c>
      <c r="D58" s="242"/>
      <c r="E58" s="281" t="s">
        <v>611</v>
      </c>
      <c r="F58" s="308">
        <f t="shared" ref="F58:Y58" si="29">1-(F57-F56)</f>
        <v>1</v>
      </c>
      <c r="G58" s="308">
        <f t="shared" si="29"/>
        <v>1</v>
      </c>
      <c r="H58" s="308">
        <f t="shared" si="29"/>
        <v>1</v>
      </c>
      <c r="I58" s="308">
        <f t="shared" si="29"/>
        <v>1</v>
      </c>
      <c r="J58" s="308">
        <f t="shared" si="29"/>
        <v>1</v>
      </c>
      <c r="K58" s="308">
        <f t="shared" si="29"/>
        <v>1</v>
      </c>
      <c r="L58" s="308">
        <f t="shared" si="29"/>
        <v>1</v>
      </c>
      <c r="M58" s="308">
        <f t="shared" si="29"/>
        <v>1</v>
      </c>
      <c r="N58" s="308">
        <f t="shared" si="29"/>
        <v>1</v>
      </c>
      <c r="O58" s="308">
        <f t="shared" si="29"/>
        <v>1</v>
      </c>
      <c r="P58" s="308">
        <f t="shared" si="29"/>
        <v>1</v>
      </c>
      <c r="Q58" s="308">
        <f t="shared" si="29"/>
        <v>1</v>
      </c>
      <c r="R58" s="308">
        <f t="shared" si="29"/>
        <v>1</v>
      </c>
      <c r="S58" s="308">
        <f t="shared" si="29"/>
        <v>1</v>
      </c>
      <c r="T58" s="308">
        <f t="shared" si="29"/>
        <v>1</v>
      </c>
      <c r="U58" s="308">
        <f t="shared" si="29"/>
        <v>1</v>
      </c>
      <c r="V58" s="308">
        <f t="shared" si="29"/>
        <v>1</v>
      </c>
      <c r="W58" s="308">
        <f t="shared" si="29"/>
        <v>1</v>
      </c>
      <c r="X58" s="308">
        <f t="shared" si="29"/>
        <v>1</v>
      </c>
      <c r="Y58" s="308">
        <f t="shared" si="29"/>
        <v>1</v>
      </c>
    </row>
    <row r="59" spans="1:25" s="259" customFormat="1" hidden="1">
      <c r="A59" s="222"/>
      <c r="B59" s="251" t="s">
        <v>610</v>
      </c>
      <c r="C59" s="253">
        <v>0.4</v>
      </c>
      <c r="D59" s="242"/>
      <c r="E59" s="281" t="s">
        <v>609</v>
      </c>
      <c r="F59" s="301">
        <f t="shared" ref="F59:Y59" si="30">INDEX(Sed_trap_factor, MATCH(F32,$B$196:$B$200,), 2)</f>
        <v>1</v>
      </c>
      <c r="G59" s="301">
        <f t="shared" si="30"/>
        <v>1</v>
      </c>
      <c r="H59" s="301">
        <f t="shared" si="30"/>
        <v>1</v>
      </c>
      <c r="I59" s="301">
        <f t="shared" si="30"/>
        <v>1</v>
      </c>
      <c r="J59" s="301">
        <f t="shared" si="30"/>
        <v>1</v>
      </c>
      <c r="K59" s="301">
        <f t="shared" si="30"/>
        <v>1</v>
      </c>
      <c r="L59" s="301">
        <f t="shared" si="30"/>
        <v>1</v>
      </c>
      <c r="M59" s="301">
        <f t="shared" si="30"/>
        <v>1</v>
      </c>
      <c r="N59" s="301">
        <f t="shared" si="30"/>
        <v>1</v>
      </c>
      <c r="O59" s="301">
        <f t="shared" si="30"/>
        <v>1</v>
      </c>
      <c r="P59" s="301">
        <f t="shared" si="30"/>
        <v>1</v>
      </c>
      <c r="Q59" s="301">
        <f t="shared" si="30"/>
        <v>1</v>
      </c>
      <c r="R59" s="301">
        <f t="shared" si="30"/>
        <v>1</v>
      </c>
      <c r="S59" s="301">
        <f t="shared" si="30"/>
        <v>1</v>
      </c>
      <c r="T59" s="301">
        <f t="shared" si="30"/>
        <v>1</v>
      </c>
      <c r="U59" s="301">
        <f t="shared" si="30"/>
        <v>1</v>
      </c>
      <c r="V59" s="301">
        <f t="shared" si="30"/>
        <v>1</v>
      </c>
      <c r="W59" s="301">
        <f t="shared" si="30"/>
        <v>1</v>
      </c>
      <c r="X59" s="301">
        <f t="shared" si="30"/>
        <v>1</v>
      </c>
      <c r="Y59" s="301">
        <f t="shared" si="30"/>
        <v>1</v>
      </c>
    </row>
    <row r="60" spans="1:25" s="259" customFormat="1" hidden="1">
      <c r="A60" s="222"/>
      <c r="B60" s="251" t="s">
        <v>599</v>
      </c>
      <c r="C60" s="253">
        <v>1</v>
      </c>
      <c r="D60" s="242"/>
      <c r="E60" s="281"/>
      <c r="F60" s="253"/>
      <c r="G60" s="253"/>
      <c r="H60" s="253"/>
      <c r="I60" s="253"/>
      <c r="J60" s="253"/>
      <c r="K60" s="253"/>
      <c r="L60" s="253"/>
      <c r="M60" s="253"/>
      <c r="N60" s="253"/>
      <c r="O60" s="253"/>
      <c r="P60" s="253"/>
      <c r="Q60" s="253"/>
      <c r="R60" s="253"/>
      <c r="S60" s="253"/>
      <c r="T60" s="253"/>
      <c r="U60" s="253"/>
      <c r="V60" s="253"/>
      <c r="W60" s="253"/>
      <c r="X60" s="253"/>
      <c r="Y60" s="253"/>
    </row>
    <row r="61" spans="1:25" s="259" customFormat="1" hidden="1">
      <c r="A61" s="222"/>
      <c r="B61" s="251" t="s">
        <v>594</v>
      </c>
      <c r="C61" s="253">
        <v>0</v>
      </c>
      <c r="D61" s="222"/>
      <c r="E61" s="281" t="s">
        <v>608</v>
      </c>
      <c r="F61" s="308">
        <f t="shared" ref="F61:Y61" si="31">IF(F59=1,MAX(0.4,F54*F58),F59)</f>
        <v>1</v>
      </c>
      <c r="G61" s="308">
        <f t="shared" si="31"/>
        <v>1</v>
      </c>
      <c r="H61" s="308">
        <f t="shared" si="31"/>
        <v>1</v>
      </c>
      <c r="I61" s="308">
        <f t="shared" si="31"/>
        <v>1</v>
      </c>
      <c r="J61" s="308">
        <f t="shared" si="31"/>
        <v>1</v>
      </c>
      <c r="K61" s="308">
        <f t="shared" si="31"/>
        <v>1</v>
      </c>
      <c r="L61" s="308">
        <f t="shared" si="31"/>
        <v>1</v>
      </c>
      <c r="M61" s="308">
        <f t="shared" si="31"/>
        <v>1</v>
      </c>
      <c r="N61" s="308">
        <f t="shared" si="31"/>
        <v>1</v>
      </c>
      <c r="O61" s="308">
        <f t="shared" si="31"/>
        <v>1</v>
      </c>
      <c r="P61" s="308">
        <f t="shared" si="31"/>
        <v>1</v>
      </c>
      <c r="Q61" s="308">
        <f t="shared" si="31"/>
        <v>1</v>
      </c>
      <c r="R61" s="308">
        <f t="shared" si="31"/>
        <v>1</v>
      </c>
      <c r="S61" s="308">
        <f t="shared" si="31"/>
        <v>1</v>
      </c>
      <c r="T61" s="308">
        <f t="shared" si="31"/>
        <v>1</v>
      </c>
      <c r="U61" s="308">
        <f t="shared" si="31"/>
        <v>1</v>
      </c>
      <c r="V61" s="308">
        <f t="shared" si="31"/>
        <v>1</v>
      </c>
      <c r="W61" s="308">
        <f t="shared" si="31"/>
        <v>1</v>
      </c>
      <c r="X61" s="308">
        <f t="shared" si="31"/>
        <v>1</v>
      </c>
      <c r="Y61" s="308">
        <f t="shared" si="31"/>
        <v>1</v>
      </c>
    </row>
    <row r="62" spans="1:25" s="259" customFormat="1" hidden="1">
      <c r="A62" s="222"/>
      <c r="B62" s="251"/>
      <c r="C62" s="253"/>
      <c r="D62" s="242"/>
      <c r="E62" s="251"/>
      <c r="F62" s="222"/>
      <c r="G62" s="222"/>
      <c r="H62" s="222"/>
      <c r="I62" s="222"/>
      <c r="J62" s="222"/>
      <c r="K62" s="222"/>
      <c r="L62" s="222"/>
      <c r="M62" s="222"/>
      <c r="N62" s="222"/>
      <c r="O62" s="222"/>
      <c r="P62" s="222"/>
      <c r="Q62" s="222"/>
      <c r="R62" s="222"/>
      <c r="S62" s="222"/>
      <c r="T62" s="222"/>
      <c r="U62" s="222"/>
      <c r="V62" s="222"/>
      <c r="W62" s="222"/>
      <c r="X62" s="222"/>
      <c r="Y62" s="222"/>
    </row>
    <row r="63" spans="1:25" s="259" customFormat="1" hidden="1">
      <c r="A63" s="222"/>
      <c r="B63" s="256" t="s">
        <v>607</v>
      </c>
      <c r="C63" s="254" t="s">
        <v>606</v>
      </c>
      <c r="D63" s="222"/>
      <c r="E63" s="281" t="s">
        <v>605</v>
      </c>
      <c r="F63" s="222">
        <f t="shared" ref="F63:Y63" si="32">MIN(TP_availability_factor,0.1+F11*0.001)</f>
        <v>0.1</v>
      </c>
      <c r="G63" s="222">
        <f t="shared" si="32"/>
        <v>0.1</v>
      </c>
      <c r="H63" s="222">
        <f t="shared" si="32"/>
        <v>0.1</v>
      </c>
      <c r="I63" s="222">
        <f t="shared" si="32"/>
        <v>0.1</v>
      </c>
      <c r="J63" s="222">
        <f t="shared" si="32"/>
        <v>0.1</v>
      </c>
      <c r="K63" s="222">
        <f t="shared" si="32"/>
        <v>0.1</v>
      </c>
      <c r="L63" s="222">
        <f t="shared" si="32"/>
        <v>0.1</v>
      </c>
      <c r="M63" s="222">
        <f t="shared" si="32"/>
        <v>0.1</v>
      </c>
      <c r="N63" s="222">
        <f t="shared" si="32"/>
        <v>0.1</v>
      </c>
      <c r="O63" s="222">
        <f t="shared" si="32"/>
        <v>0.1</v>
      </c>
      <c r="P63" s="222">
        <f t="shared" si="32"/>
        <v>0.1</v>
      </c>
      <c r="Q63" s="222">
        <f t="shared" si="32"/>
        <v>0.1</v>
      </c>
      <c r="R63" s="222">
        <f t="shared" si="32"/>
        <v>0.1</v>
      </c>
      <c r="S63" s="222">
        <f t="shared" si="32"/>
        <v>0.1</v>
      </c>
      <c r="T63" s="222">
        <f t="shared" si="32"/>
        <v>0.1</v>
      </c>
      <c r="U63" s="222">
        <f t="shared" si="32"/>
        <v>0.1</v>
      </c>
      <c r="V63" s="222">
        <f t="shared" si="32"/>
        <v>0.1</v>
      </c>
      <c r="W63" s="222">
        <f t="shared" si="32"/>
        <v>0.1</v>
      </c>
      <c r="X63" s="222">
        <f t="shared" si="32"/>
        <v>0.1</v>
      </c>
      <c r="Y63" s="222">
        <f t="shared" si="32"/>
        <v>0.1</v>
      </c>
    </row>
    <row r="64" spans="1:25" s="259" customFormat="1" hidden="1">
      <c r="A64" s="222"/>
      <c r="B64" s="251" t="s">
        <v>604</v>
      </c>
      <c r="C64" s="304">
        <v>0.05</v>
      </c>
      <c r="D64" s="222"/>
      <c r="E64" s="307" t="s">
        <v>603</v>
      </c>
      <c r="F64" s="306">
        <f t="shared" ref="F64:Y64" si="33">IF(F41="Clay",$C35+$C34*F78,$D35+$D34*F78)</f>
        <v>760</v>
      </c>
      <c r="G64" s="306">
        <f t="shared" si="33"/>
        <v>760</v>
      </c>
      <c r="H64" s="306">
        <f t="shared" si="33"/>
        <v>760</v>
      </c>
      <c r="I64" s="306">
        <f t="shared" si="33"/>
        <v>760</v>
      </c>
      <c r="J64" s="306">
        <f t="shared" si="33"/>
        <v>760</v>
      </c>
      <c r="K64" s="306">
        <f t="shared" si="33"/>
        <v>760</v>
      </c>
      <c r="L64" s="306">
        <f t="shared" si="33"/>
        <v>760</v>
      </c>
      <c r="M64" s="306">
        <f t="shared" si="33"/>
        <v>760</v>
      </c>
      <c r="N64" s="306">
        <f t="shared" si="33"/>
        <v>760</v>
      </c>
      <c r="O64" s="306">
        <f t="shared" si="33"/>
        <v>760</v>
      </c>
      <c r="P64" s="306">
        <f t="shared" si="33"/>
        <v>760</v>
      </c>
      <c r="Q64" s="306">
        <f t="shared" si="33"/>
        <v>760</v>
      </c>
      <c r="R64" s="306">
        <f t="shared" si="33"/>
        <v>760</v>
      </c>
      <c r="S64" s="306">
        <f t="shared" si="33"/>
        <v>760</v>
      </c>
      <c r="T64" s="306">
        <f t="shared" si="33"/>
        <v>760</v>
      </c>
      <c r="U64" s="306">
        <f t="shared" si="33"/>
        <v>760</v>
      </c>
      <c r="V64" s="306">
        <f t="shared" si="33"/>
        <v>760</v>
      </c>
      <c r="W64" s="306">
        <f t="shared" si="33"/>
        <v>760</v>
      </c>
      <c r="X64" s="306">
        <f t="shared" si="33"/>
        <v>760</v>
      </c>
      <c r="Y64" s="306">
        <f t="shared" si="33"/>
        <v>760</v>
      </c>
    </row>
    <row r="65" spans="1:25" s="259" customFormat="1" hidden="1">
      <c r="A65" s="222"/>
      <c r="B65" s="251" t="s">
        <v>602</v>
      </c>
      <c r="C65" s="304">
        <v>0.3</v>
      </c>
      <c r="D65" s="222"/>
      <c r="E65" s="281"/>
      <c r="F65" s="305"/>
      <c r="G65" s="305"/>
      <c r="H65" s="305"/>
      <c r="I65" s="305"/>
      <c r="J65" s="305"/>
      <c r="K65" s="305"/>
      <c r="L65" s="305"/>
      <c r="M65" s="305"/>
      <c r="N65" s="305"/>
      <c r="O65" s="305"/>
      <c r="P65" s="305"/>
      <c r="Q65" s="305"/>
      <c r="R65" s="305"/>
      <c r="S65" s="305"/>
      <c r="T65" s="305"/>
      <c r="U65" s="305"/>
      <c r="V65" s="305"/>
      <c r="W65" s="305"/>
      <c r="X65" s="305"/>
      <c r="Y65" s="305"/>
    </row>
    <row r="66" spans="1:25" s="259" customFormat="1" hidden="1">
      <c r="A66" s="222"/>
      <c r="B66" s="251" t="s">
        <v>601</v>
      </c>
      <c r="C66" s="304">
        <v>0.6</v>
      </c>
      <c r="D66" s="222"/>
      <c r="E66" s="281"/>
      <c r="F66" s="305"/>
      <c r="G66" s="305"/>
      <c r="H66" s="305"/>
      <c r="I66" s="305"/>
      <c r="J66" s="305"/>
      <c r="K66" s="305"/>
      <c r="L66" s="305"/>
      <c r="M66" s="305"/>
      <c r="N66" s="305"/>
      <c r="O66" s="305"/>
      <c r="P66" s="305"/>
      <c r="Q66" s="305"/>
      <c r="R66" s="305"/>
      <c r="S66" s="305"/>
      <c r="T66" s="305"/>
      <c r="U66" s="305"/>
      <c r="V66" s="305"/>
      <c r="W66" s="305"/>
      <c r="X66" s="305"/>
      <c r="Y66" s="305"/>
    </row>
    <row r="67" spans="1:25" s="259" customFormat="1" hidden="1">
      <c r="A67" s="222"/>
      <c r="B67" s="251" t="s">
        <v>600</v>
      </c>
      <c r="C67" s="304">
        <v>0.8</v>
      </c>
      <c r="D67" s="222"/>
      <c r="E67" s="281"/>
      <c r="F67" s="305"/>
      <c r="G67" s="305"/>
      <c r="H67" s="305"/>
      <c r="I67" s="305"/>
      <c r="J67" s="305"/>
      <c r="K67" s="305"/>
      <c r="L67" s="305"/>
      <c r="M67" s="305"/>
      <c r="N67" s="305"/>
      <c r="O67" s="305"/>
      <c r="P67" s="305"/>
      <c r="Q67" s="305"/>
      <c r="R67" s="305"/>
      <c r="S67" s="305"/>
      <c r="T67" s="305"/>
      <c r="U67" s="305"/>
      <c r="V67" s="305"/>
      <c r="W67" s="305"/>
      <c r="X67" s="305"/>
      <c r="Y67" s="305"/>
    </row>
    <row r="68" spans="1:25" s="259" customFormat="1" hidden="1">
      <c r="A68" s="222"/>
      <c r="B68" s="251" t="s">
        <v>599</v>
      </c>
      <c r="C68" s="304">
        <v>1</v>
      </c>
      <c r="D68" s="222"/>
      <c r="E68" s="303" t="s">
        <v>598</v>
      </c>
      <c r="F68" s="302"/>
      <c r="G68" s="302"/>
      <c r="H68" s="254"/>
      <c r="I68" s="302"/>
      <c r="J68" s="302"/>
      <c r="K68" s="302"/>
      <c r="L68" s="302"/>
      <c r="M68" s="302"/>
      <c r="N68" s="302"/>
      <c r="O68" s="302"/>
      <c r="P68" s="302"/>
      <c r="Q68" s="302"/>
      <c r="R68" s="302"/>
      <c r="S68" s="302"/>
      <c r="T68" s="302"/>
      <c r="U68" s="302"/>
      <c r="V68" s="302"/>
      <c r="W68" s="302"/>
      <c r="X68" s="302"/>
      <c r="Y68" s="302"/>
    </row>
    <row r="69" spans="1:25" s="259" customFormat="1" hidden="1">
      <c r="A69" s="222"/>
      <c r="B69" s="248" t="s">
        <v>594</v>
      </c>
      <c r="C69" s="265">
        <v>0</v>
      </c>
      <c r="D69" s="222"/>
      <c r="E69" s="287" t="s">
        <v>597</v>
      </c>
      <c r="F69" s="301">
        <f t="shared" ref="F69:Y69" si="34">F33*0.22651</f>
        <v>0.23217274999999996</v>
      </c>
      <c r="G69" s="301">
        <f t="shared" si="34"/>
        <v>0.23217274999999996</v>
      </c>
      <c r="H69" s="301">
        <f t="shared" si="34"/>
        <v>0.23217274999999996</v>
      </c>
      <c r="I69" s="301">
        <f t="shared" si="34"/>
        <v>0.23217274999999996</v>
      </c>
      <c r="J69" s="301">
        <f t="shared" si="34"/>
        <v>0.23217274999999996</v>
      </c>
      <c r="K69" s="301">
        <f t="shared" si="34"/>
        <v>0.23217274999999996</v>
      </c>
      <c r="L69" s="301">
        <f t="shared" si="34"/>
        <v>0.23217274999999996</v>
      </c>
      <c r="M69" s="301">
        <f t="shared" si="34"/>
        <v>0.23217274999999996</v>
      </c>
      <c r="N69" s="301">
        <f t="shared" si="34"/>
        <v>0.23217274999999996</v>
      </c>
      <c r="O69" s="301">
        <f t="shared" si="34"/>
        <v>0.23217274999999996</v>
      </c>
      <c r="P69" s="301">
        <f t="shared" si="34"/>
        <v>0.23217274999999996</v>
      </c>
      <c r="Q69" s="301">
        <f t="shared" si="34"/>
        <v>0.23217274999999996</v>
      </c>
      <c r="R69" s="301">
        <f t="shared" si="34"/>
        <v>0.23217274999999996</v>
      </c>
      <c r="S69" s="301">
        <f t="shared" si="34"/>
        <v>0.23217274999999996</v>
      </c>
      <c r="T69" s="301">
        <f t="shared" si="34"/>
        <v>0.23217274999999996</v>
      </c>
      <c r="U69" s="301">
        <f t="shared" si="34"/>
        <v>0.23217274999999996</v>
      </c>
      <c r="V69" s="301">
        <f t="shared" si="34"/>
        <v>0.23217274999999996</v>
      </c>
      <c r="W69" s="301">
        <f t="shared" si="34"/>
        <v>0.23217274999999996</v>
      </c>
      <c r="X69" s="301">
        <f t="shared" si="34"/>
        <v>0.23217274999999996</v>
      </c>
      <c r="Y69" s="301">
        <f t="shared" si="34"/>
        <v>0.23217274999999996</v>
      </c>
    </row>
    <row r="70" spans="1:25" s="259" customFormat="1" hidden="1">
      <c r="A70" s="222"/>
      <c r="B70" s="222"/>
      <c r="C70" s="222"/>
      <c r="D70" s="242"/>
      <c r="E70" s="287" t="s">
        <v>596</v>
      </c>
      <c r="F70" s="301">
        <f t="shared" ref="F70:Y70" si="35">F34*0.22651</f>
        <v>0.18403937500000001</v>
      </c>
      <c r="G70" s="301">
        <f t="shared" si="35"/>
        <v>0.18403937500000001</v>
      </c>
      <c r="H70" s="301">
        <f t="shared" si="35"/>
        <v>0.18403937500000001</v>
      </c>
      <c r="I70" s="301">
        <f t="shared" si="35"/>
        <v>0.18403937500000001</v>
      </c>
      <c r="J70" s="301">
        <f t="shared" si="35"/>
        <v>0.18403937500000001</v>
      </c>
      <c r="K70" s="301">
        <f t="shared" si="35"/>
        <v>0.18403937500000001</v>
      </c>
      <c r="L70" s="301">
        <f t="shared" si="35"/>
        <v>0.18403937500000001</v>
      </c>
      <c r="M70" s="301">
        <f t="shared" si="35"/>
        <v>0.18403937500000001</v>
      </c>
      <c r="N70" s="301">
        <f t="shared" si="35"/>
        <v>0.18403937500000001</v>
      </c>
      <c r="O70" s="301">
        <f t="shared" si="35"/>
        <v>0.18403937500000001</v>
      </c>
      <c r="P70" s="301">
        <f t="shared" si="35"/>
        <v>0.18403937500000001</v>
      </c>
      <c r="Q70" s="301">
        <f t="shared" si="35"/>
        <v>0.18403937500000001</v>
      </c>
      <c r="R70" s="301">
        <f t="shared" si="35"/>
        <v>0.18403937500000001</v>
      </c>
      <c r="S70" s="301">
        <f t="shared" si="35"/>
        <v>0.18403937500000001</v>
      </c>
      <c r="T70" s="301">
        <f t="shared" si="35"/>
        <v>0.18403937500000001</v>
      </c>
      <c r="U70" s="301">
        <f t="shared" si="35"/>
        <v>0.18403937500000001</v>
      </c>
      <c r="V70" s="301">
        <f t="shared" si="35"/>
        <v>0.18403937500000001</v>
      </c>
      <c r="W70" s="301">
        <f t="shared" si="35"/>
        <v>0.18403937500000001</v>
      </c>
      <c r="X70" s="301">
        <f t="shared" si="35"/>
        <v>0.18403937500000001</v>
      </c>
      <c r="Y70" s="301">
        <f t="shared" si="35"/>
        <v>0.18403937500000001</v>
      </c>
    </row>
    <row r="71" spans="1:25" s="259" customFormat="1" hidden="1">
      <c r="A71" s="222"/>
      <c r="B71" s="256" t="s">
        <v>595</v>
      </c>
      <c r="C71" s="254"/>
      <c r="D71" s="242"/>
      <c r="E71" s="287"/>
      <c r="F71" s="301"/>
      <c r="G71" s="301"/>
      <c r="H71" s="301"/>
      <c r="I71" s="301"/>
      <c r="J71" s="301"/>
      <c r="K71" s="301"/>
      <c r="L71" s="301"/>
      <c r="M71" s="301"/>
      <c r="N71" s="301"/>
      <c r="O71" s="301"/>
      <c r="P71" s="301"/>
      <c r="Q71" s="301"/>
      <c r="R71" s="301"/>
      <c r="S71" s="301"/>
      <c r="T71" s="301"/>
      <c r="U71" s="301"/>
      <c r="V71" s="301"/>
      <c r="W71" s="301"/>
      <c r="X71" s="301"/>
      <c r="Y71" s="301"/>
    </row>
    <row r="72" spans="1:25" s="259" customFormat="1" hidden="1">
      <c r="A72" s="222"/>
      <c r="B72" s="251" t="s">
        <v>594</v>
      </c>
      <c r="C72" s="253">
        <v>0</v>
      </c>
      <c r="D72" s="242"/>
      <c r="E72" s="287"/>
      <c r="F72" s="301"/>
      <c r="G72" s="301"/>
      <c r="H72" s="301"/>
      <c r="I72" s="301"/>
      <c r="J72" s="301"/>
      <c r="K72" s="301"/>
      <c r="L72" s="301"/>
      <c r="M72" s="301"/>
      <c r="N72" s="301"/>
      <c r="O72" s="301"/>
      <c r="P72" s="301"/>
      <c r="Q72" s="301"/>
      <c r="R72" s="301"/>
      <c r="S72" s="301"/>
      <c r="T72" s="301"/>
      <c r="U72" s="301"/>
      <c r="V72" s="301"/>
      <c r="W72" s="301"/>
      <c r="X72" s="301"/>
      <c r="Y72" s="301"/>
    </row>
    <row r="73" spans="1:25" s="259" customFormat="1" hidden="1">
      <c r="A73" s="222"/>
      <c r="B73" s="251" t="s">
        <v>593</v>
      </c>
      <c r="C73" s="253">
        <v>0.5</v>
      </c>
      <c r="D73" s="242"/>
      <c r="E73" s="287" t="s">
        <v>592</v>
      </c>
      <c r="F73" s="301">
        <f t="shared" ref="F73:Y73" si="36">INDEX($B$103:$C$106, MATCH(F$40,Soil_hydrologic_group,), MATCH(1,$B$103:$C$103,))</f>
        <v>1</v>
      </c>
      <c r="G73" s="301">
        <f t="shared" si="36"/>
        <v>1</v>
      </c>
      <c r="H73" s="301">
        <f t="shared" si="36"/>
        <v>1</v>
      </c>
      <c r="I73" s="301">
        <f t="shared" si="36"/>
        <v>1</v>
      </c>
      <c r="J73" s="301">
        <f t="shared" si="36"/>
        <v>1</v>
      </c>
      <c r="K73" s="301">
        <f t="shared" si="36"/>
        <v>1</v>
      </c>
      <c r="L73" s="301">
        <f t="shared" si="36"/>
        <v>1</v>
      </c>
      <c r="M73" s="301">
        <f t="shared" si="36"/>
        <v>1</v>
      </c>
      <c r="N73" s="301">
        <f t="shared" si="36"/>
        <v>1</v>
      </c>
      <c r="O73" s="301">
        <f t="shared" si="36"/>
        <v>1</v>
      </c>
      <c r="P73" s="301">
        <f t="shared" si="36"/>
        <v>1</v>
      </c>
      <c r="Q73" s="301">
        <f t="shared" si="36"/>
        <v>1</v>
      </c>
      <c r="R73" s="301">
        <f t="shared" si="36"/>
        <v>1</v>
      </c>
      <c r="S73" s="301">
        <f t="shared" si="36"/>
        <v>1</v>
      </c>
      <c r="T73" s="301">
        <f t="shared" si="36"/>
        <v>1</v>
      </c>
      <c r="U73" s="301">
        <f t="shared" si="36"/>
        <v>1</v>
      </c>
      <c r="V73" s="301">
        <f t="shared" si="36"/>
        <v>1</v>
      </c>
      <c r="W73" s="301">
        <f t="shared" si="36"/>
        <v>1</v>
      </c>
      <c r="X73" s="301">
        <f t="shared" si="36"/>
        <v>1</v>
      </c>
      <c r="Y73" s="301">
        <f t="shared" si="36"/>
        <v>1</v>
      </c>
    </row>
    <row r="74" spans="1:25" s="259" customFormat="1" hidden="1">
      <c r="A74" s="222"/>
      <c r="B74" s="251" t="s">
        <v>591</v>
      </c>
      <c r="C74" s="253">
        <v>1</v>
      </c>
      <c r="D74" s="242"/>
      <c r="E74" s="287" t="s">
        <v>590</v>
      </c>
      <c r="F74" s="301">
        <f t="shared" ref="F74:Y74" si="37">INDEX($B$118:$C$120, MATCH(F$27,Surface_cover,), MATCH(1,$B$118:$C$118,))</f>
        <v>2</v>
      </c>
      <c r="G74" s="301">
        <f t="shared" si="37"/>
        <v>2</v>
      </c>
      <c r="H74" s="301">
        <f t="shared" si="37"/>
        <v>2</v>
      </c>
      <c r="I74" s="301">
        <f t="shared" si="37"/>
        <v>2</v>
      </c>
      <c r="J74" s="301">
        <f t="shared" si="37"/>
        <v>2</v>
      </c>
      <c r="K74" s="301">
        <f t="shared" si="37"/>
        <v>2</v>
      </c>
      <c r="L74" s="301">
        <f t="shared" si="37"/>
        <v>2</v>
      </c>
      <c r="M74" s="301">
        <f t="shared" si="37"/>
        <v>2</v>
      </c>
      <c r="N74" s="301">
        <f t="shared" si="37"/>
        <v>2</v>
      </c>
      <c r="O74" s="301">
        <f t="shared" si="37"/>
        <v>2</v>
      </c>
      <c r="P74" s="301">
        <f t="shared" si="37"/>
        <v>2</v>
      </c>
      <c r="Q74" s="301">
        <f t="shared" si="37"/>
        <v>2</v>
      </c>
      <c r="R74" s="301">
        <f t="shared" si="37"/>
        <v>2</v>
      </c>
      <c r="S74" s="301">
        <f t="shared" si="37"/>
        <v>2</v>
      </c>
      <c r="T74" s="301">
        <f t="shared" si="37"/>
        <v>2</v>
      </c>
      <c r="U74" s="301">
        <f t="shared" si="37"/>
        <v>2</v>
      </c>
      <c r="V74" s="301">
        <f t="shared" si="37"/>
        <v>2</v>
      </c>
      <c r="W74" s="301">
        <f t="shared" si="37"/>
        <v>2</v>
      </c>
      <c r="X74" s="301">
        <f t="shared" si="37"/>
        <v>2</v>
      </c>
      <c r="Y74" s="301">
        <f t="shared" si="37"/>
        <v>2</v>
      </c>
    </row>
    <row r="75" spans="1:25" s="259" customFormat="1" hidden="1">
      <c r="A75" s="222"/>
      <c r="B75" s="251" t="s">
        <v>589</v>
      </c>
      <c r="C75" s="253">
        <v>1.3</v>
      </c>
      <c r="D75" s="242"/>
      <c r="E75" s="287" t="s">
        <v>588</v>
      </c>
      <c r="F75" s="301">
        <f t="shared" ref="F75:Y75" si="38">INDEX($B$122:$C$131, MATCH(F$28,Vegetation_type,), MATCH(1,$B$122:$C$122,))</f>
        <v>6</v>
      </c>
      <c r="G75" s="301">
        <f t="shared" si="38"/>
        <v>6</v>
      </c>
      <c r="H75" s="301">
        <f t="shared" si="38"/>
        <v>6</v>
      </c>
      <c r="I75" s="301">
        <f t="shared" si="38"/>
        <v>6</v>
      </c>
      <c r="J75" s="301">
        <f t="shared" si="38"/>
        <v>6</v>
      </c>
      <c r="K75" s="301">
        <f t="shared" si="38"/>
        <v>6</v>
      </c>
      <c r="L75" s="301">
        <f t="shared" si="38"/>
        <v>6</v>
      </c>
      <c r="M75" s="301">
        <f t="shared" si="38"/>
        <v>6</v>
      </c>
      <c r="N75" s="301">
        <f t="shared" si="38"/>
        <v>6</v>
      </c>
      <c r="O75" s="301">
        <f t="shared" si="38"/>
        <v>6</v>
      </c>
      <c r="P75" s="301">
        <f t="shared" si="38"/>
        <v>6</v>
      </c>
      <c r="Q75" s="301">
        <f t="shared" si="38"/>
        <v>6</v>
      </c>
      <c r="R75" s="301">
        <f t="shared" si="38"/>
        <v>6</v>
      </c>
      <c r="S75" s="301">
        <f t="shared" si="38"/>
        <v>6</v>
      </c>
      <c r="T75" s="301">
        <f t="shared" si="38"/>
        <v>6</v>
      </c>
      <c r="U75" s="301">
        <f t="shared" si="38"/>
        <v>6</v>
      </c>
      <c r="V75" s="301">
        <f t="shared" si="38"/>
        <v>6</v>
      </c>
      <c r="W75" s="301">
        <f t="shared" si="38"/>
        <v>6</v>
      </c>
      <c r="X75" s="301">
        <f t="shared" si="38"/>
        <v>6</v>
      </c>
      <c r="Y75" s="301">
        <f t="shared" si="38"/>
        <v>6</v>
      </c>
    </row>
    <row r="76" spans="1:25" s="259" customFormat="1" hidden="1">
      <c r="A76" s="222"/>
      <c r="B76" s="251" t="s">
        <v>587</v>
      </c>
      <c r="C76" s="253">
        <v>0.8</v>
      </c>
      <c r="D76" s="242"/>
      <c r="E76" s="287" t="s">
        <v>586</v>
      </c>
      <c r="F76" s="278">
        <f t="shared" ref="F76:Y76" si="39">IF((F30)&lt;=5,1,1.047*EXP((-70-(F30))/60)+0.7)</f>
        <v>1</v>
      </c>
      <c r="G76" s="278">
        <f t="shared" si="39"/>
        <v>1</v>
      </c>
      <c r="H76" s="278">
        <f t="shared" si="39"/>
        <v>1</v>
      </c>
      <c r="I76" s="278">
        <f t="shared" si="39"/>
        <v>1</v>
      </c>
      <c r="J76" s="278">
        <f t="shared" si="39"/>
        <v>1</v>
      </c>
      <c r="K76" s="278">
        <f t="shared" si="39"/>
        <v>1</v>
      </c>
      <c r="L76" s="278">
        <f t="shared" si="39"/>
        <v>1</v>
      </c>
      <c r="M76" s="278">
        <f t="shared" si="39"/>
        <v>1</v>
      </c>
      <c r="N76" s="278">
        <f t="shared" si="39"/>
        <v>1</v>
      </c>
      <c r="O76" s="278">
        <f t="shared" si="39"/>
        <v>1</v>
      </c>
      <c r="P76" s="278">
        <f t="shared" si="39"/>
        <v>1</v>
      </c>
      <c r="Q76" s="278">
        <f t="shared" si="39"/>
        <v>1</v>
      </c>
      <c r="R76" s="278">
        <f t="shared" si="39"/>
        <v>1</v>
      </c>
      <c r="S76" s="278">
        <f t="shared" si="39"/>
        <v>1</v>
      </c>
      <c r="T76" s="278">
        <f t="shared" si="39"/>
        <v>1</v>
      </c>
      <c r="U76" s="278">
        <f t="shared" si="39"/>
        <v>1</v>
      </c>
      <c r="V76" s="278">
        <f t="shared" si="39"/>
        <v>1</v>
      </c>
      <c r="W76" s="278">
        <f t="shared" si="39"/>
        <v>1</v>
      </c>
      <c r="X76" s="278">
        <f t="shared" si="39"/>
        <v>1</v>
      </c>
      <c r="Y76" s="278">
        <f t="shared" si="39"/>
        <v>1</v>
      </c>
    </row>
    <row r="77" spans="1:25" s="259" customFormat="1" hidden="1">
      <c r="A77" s="222"/>
      <c r="B77" s="251" t="s">
        <v>585</v>
      </c>
      <c r="C77" s="253">
        <v>0.05</v>
      </c>
      <c r="D77" s="222"/>
      <c r="E77" s="287" t="s">
        <v>584</v>
      </c>
      <c r="F77" s="278">
        <f t="shared" ref="F77:Y77" si="40">IF((F30+IF(F13+F18&gt;0,F31,0))&lt;=5,1,1.047*EXP((-70-(F30+IF(F13+F18&gt;0,F31,0)))/60)+0.7)</f>
        <v>1</v>
      </c>
      <c r="G77" s="278">
        <f t="shared" si="40"/>
        <v>1</v>
      </c>
      <c r="H77" s="278">
        <f t="shared" si="40"/>
        <v>1</v>
      </c>
      <c r="I77" s="278">
        <f t="shared" si="40"/>
        <v>1</v>
      </c>
      <c r="J77" s="278">
        <f t="shared" si="40"/>
        <v>1</v>
      </c>
      <c r="K77" s="278">
        <f t="shared" si="40"/>
        <v>1</v>
      </c>
      <c r="L77" s="278">
        <f t="shared" si="40"/>
        <v>1</v>
      </c>
      <c r="M77" s="278">
        <f t="shared" si="40"/>
        <v>1</v>
      </c>
      <c r="N77" s="278">
        <f t="shared" si="40"/>
        <v>1</v>
      </c>
      <c r="O77" s="278">
        <f t="shared" si="40"/>
        <v>1</v>
      </c>
      <c r="P77" s="278">
        <f t="shared" si="40"/>
        <v>1</v>
      </c>
      <c r="Q77" s="278">
        <f t="shared" si="40"/>
        <v>1</v>
      </c>
      <c r="R77" s="278">
        <f t="shared" si="40"/>
        <v>1</v>
      </c>
      <c r="S77" s="278">
        <f t="shared" si="40"/>
        <v>1</v>
      </c>
      <c r="T77" s="278">
        <f t="shared" si="40"/>
        <v>1</v>
      </c>
      <c r="U77" s="278">
        <f t="shared" si="40"/>
        <v>1</v>
      </c>
      <c r="V77" s="278">
        <f t="shared" si="40"/>
        <v>1</v>
      </c>
      <c r="W77" s="278">
        <f t="shared" si="40"/>
        <v>1</v>
      </c>
      <c r="X77" s="278">
        <f t="shared" si="40"/>
        <v>1</v>
      </c>
      <c r="Y77" s="278">
        <f t="shared" si="40"/>
        <v>1</v>
      </c>
    </row>
    <row r="78" spans="1:25" s="259" customFormat="1" hidden="1">
      <c r="A78" s="222"/>
      <c r="B78" s="251" t="s">
        <v>583</v>
      </c>
      <c r="C78" s="253">
        <v>0.25</v>
      </c>
      <c r="D78" s="242"/>
      <c r="E78" s="287" t="s">
        <v>582</v>
      </c>
      <c r="F78" s="300">
        <f t="shared" ref="F78:Y78" si="41">F11+F88+F97+F106</f>
        <v>0</v>
      </c>
      <c r="G78" s="300">
        <f t="shared" si="41"/>
        <v>0</v>
      </c>
      <c r="H78" s="300">
        <f t="shared" si="41"/>
        <v>0</v>
      </c>
      <c r="I78" s="300">
        <f t="shared" si="41"/>
        <v>0</v>
      </c>
      <c r="J78" s="300">
        <f t="shared" si="41"/>
        <v>0</v>
      </c>
      <c r="K78" s="300">
        <f t="shared" si="41"/>
        <v>0</v>
      </c>
      <c r="L78" s="300">
        <f t="shared" si="41"/>
        <v>0</v>
      </c>
      <c r="M78" s="300">
        <f t="shared" si="41"/>
        <v>0</v>
      </c>
      <c r="N78" s="300">
        <f t="shared" si="41"/>
        <v>0</v>
      </c>
      <c r="O78" s="300">
        <f t="shared" si="41"/>
        <v>0</v>
      </c>
      <c r="P78" s="300">
        <f t="shared" si="41"/>
        <v>0</v>
      </c>
      <c r="Q78" s="300">
        <f t="shared" si="41"/>
        <v>0</v>
      </c>
      <c r="R78" s="300">
        <f t="shared" si="41"/>
        <v>0</v>
      </c>
      <c r="S78" s="300">
        <f t="shared" si="41"/>
        <v>0</v>
      </c>
      <c r="T78" s="300">
        <f t="shared" si="41"/>
        <v>0</v>
      </c>
      <c r="U78" s="300">
        <f t="shared" si="41"/>
        <v>0</v>
      </c>
      <c r="V78" s="300">
        <f t="shared" si="41"/>
        <v>0</v>
      </c>
      <c r="W78" s="300">
        <f t="shared" si="41"/>
        <v>0</v>
      </c>
      <c r="X78" s="300">
        <f t="shared" si="41"/>
        <v>0</v>
      </c>
      <c r="Y78" s="300">
        <f t="shared" si="41"/>
        <v>0</v>
      </c>
    </row>
    <row r="79" spans="1:25" s="259" customFormat="1" hidden="1">
      <c r="A79" s="222"/>
      <c r="B79" s="251" t="s">
        <v>581</v>
      </c>
      <c r="C79" s="253">
        <v>0.4</v>
      </c>
      <c r="D79" s="242"/>
      <c r="E79" s="287" t="s">
        <v>580</v>
      </c>
      <c r="F79" s="298">
        <f t="shared" ref="F79:Y79" si="42">IF(F12&gt;80,0.4,IF(F12&lt;20,1,1.2-0.01*F12))</f>
        <v>1</v>
      </c>
      <c r="G79" s="298">
        <f t="shared" si="42"/>
        <v>1</v>
      </c>
      <c r="H79" s="298">
        <f t="shared" si="42"/>
        <v>1</v>
      </c>
      <c r="I79" s="298">
        <f t="shared" si="42"/>
        <v>1</v>
      </c>
      <c r="J79" s="298">
        <f t="shared" si="42"/>
        <v>1</v>
      </c>
      <c r="K79" s="298">
        <f t="shared" si="42"/>
        <v>1</v>
      </c>
      <c r="L79" s="298">
        <f t="shared" si="42"/>
        <v>1</v>
      </c>
      <c r="M79" s="298">
        <f t="shared" si="42"/>
        <v>1</v>
      </c>
      <c r="N79" s="298">
        <f t="shared" si="42"/>
        <v>1</v>
      </c>
      <c r="O79" s="298">
        <f t="shared" si="42"/>
        <v>1</v>
      </c>
      <c r="P79" s="298">
        <f t="shared" si="42"/>
        <v>1</v>
      </c>
      <c r="Q79" s="298">
        <f t="shared" si="42"/>
        <v>1</v>
      </c>
      <c r="R79" s="298">
        <f t="shared" si="42"/>
        <v>1</v>
      </c>
      <c r="S79" s="298">
        <f t="shared" si="42"/>
        <v>1</v>
      </c>
      <c r="T79" s="298">
        <f t="shared" si="42"/>
        <v>1</v>
      </c>
      <c r="U79" s="298">
        <f t="shared" si="42"/>
        <v>1</v>
      </c>
      <c r="V79" s="298">
        <f t="shared" si="42"/>
        <v>1</v>
      </c>
      <c r="W79" s="298">
        <f t="shared" si="42"/>
        <v>1</v>
      </c>
      <c r="X79" s="298">
        <f t="shared" si="42"/>
        <v>1</v>
      </c>
      <c r="Y79" s="298">
        <f t="shared" si="42"/>
        <v>1</v>
      </c>
    </row>
    <row r="80" spans="1:25" s="259" customFormat="1" hidden="1">
      <c r="A80" s="222"/>
      <c r="B80" s="248" t="s">
        <v>579</v>
      </c>
      <c r="C80" s="265">
        <v>0</v>
      </c>
      <c r="D80" s="242"/>
      <c r="E80" s="299" t="s">
        <v>578</v>
      </c>
      <c r="F80" s="264">
        <f t="shared" ref="F80:Y80" si="43">VLOOKUP(F28,$B$122:$D$131,3,0)</f>
        <v>22.7</v>
      </c>
      <c r="G80" s="264">
        <f t="shared" si="43"/>
        <v>22.7</v>
      </c>
      <c r="H80" s="264">
        <f t="shared" si="43"/>
        <v>22.7</v>
      </c>
      <c r="I80" s="264">
        <f t="shared" si="43"/>
        <v>22.7</v>
      </c>
      <c r="J80" s="264">
        <f t="shared" si="43"/>
        <v>22.7</v>
      </c>
      <c r="K80" s="264">
        <f t="shared" si="43"/>
        <v>22.7</v>
      </c>
      <c r="L80" s="264">
        <f t="shared" si="43"/>
        <v>22.7</v>
      </c>
      <c r="M80" s="264">
        <f t="shared" si="43"/>
        <v>22.7</v>
      </c>
      <c r="N80" s="264">
        <f t="shared" si="43"/>
        <v>22.7</v>
      </c>
      <c r="O80" s="264">
        <f t="shared" si="43"/>
        <v>22.7</v>
      </c>
      <c r="P80" s="264">
        <f t="shared" si="43"/>
        <v>22.7</v>
      </c>
      <c r="Q80" s="264">
        <f t="shared" si="43"/>
        <v>22.7</v>
      </c>
      <c r="R80" s="264">
        <f t="shared" si="43"/>
        <v>22.7</v>
      </c>
      <c r="S80" s="264">
        <f t="shared" si="43"/>
        <v>22.7</v>
      </c>
      <c r="T80" s="264">
        <f t="shared" si="43"/>
        <v>22.7</v>
      </c>
      <c r="U80" s="264">
        <f t="shared" si="43"/>
        <v>22.7</v>
      </c>
      <c r="V80" s="264">
        <f t="shared" si="43"/>
        <v>22.7</v>
      </c>
      <c r="W80" s="264">
        <f t="shared" si="43"/>
        <v>22.7</v>
      </c>
      <c r="X80" s="264">
        <f t="shared" si="43"/>
        <v>22.7</v>
      </c>
      <c r="Y80" s="264">
        <f t="shared" si="43"/>
        <v>22.7</v>
      </c>
    </row>
    <row r="81" spans="1:25" s="259" customFormat="1" hidden="1">
      <c r="A81" s="222"/>
      <c r="B81" s="242"/>
      <c r="C81" s="242"/>
      <c r="D81" s="242"/>
      <c r="E81" s="292" t="s">
        <v>577</v>
      </c>
      <c r="F81" s="291">
        <f t="shared" ref="F81:Y81" si="44">IF(F83&lt;=0.6,Manure_runoff_factor*GS_adjustment_factor,Manure_runoff_factor)</f>
        <v>0.02</v>
      </c>
      <c r="G81" s="291">
        <f t="shared" si="44"/>
        <v>0.02</v>
      </c>
      <c r="H81" s="291">
        <f t="shared" si="44"/>
        <v>0.02</v>
      </c>
      <c r="I81" s="291">
        <f t="shared" si="44"/>
        <v>0.02</v>
      </c>
      <c r="J81" s="291">
        <f t="shared" si="44"/>
        <v>0.02</v>
      </c>
      <c r="K81" s="291">
        <f t="shared" si="44"/>
        <v>0.02</v>
      </c>
      <c r="L81" s="291">
        <f t="shared" si="44"/>
        <v>0.02</v>
      </c>
      <c r="M81" s="291">
        <f t="shared" si="44"/>
        <v>0.02</v>
      </c>
      <c r="N81" s="291">
        <f t="shared" si="44"/>
        <v>0.02</v>
      </c>
      <c r="O81" s="291">
        <f t="shared" si="44"/>
        <v>0.02</v>
      </c>
      <c r="P81" s="291">
        <f t="shared" si="44"/>
        <v>0.02</v>
      </c>
      <c r="Q81" s="291">
        <f t="shared" si="44"/>
        <v>0.02</v>
      </c>
      <c r="R81" s="291">
        <f t="shared" si="44"/>
        <v>0.02</v>
      </c>
      <c r="S81" s="291">
        <f t="shared" si="44"/>
        <v>0.02</v>
      </c>
      <c r="T81" s="291">
        <f t="shared" si="44"/>
        <v>0.02</v>
      </c>
      <c r="U81" s="291">
        <f t="shared" si="44"/>
        <v>0.02</v>
      </c>
      <c r="V81" s="291">
        <f t="shared" si="44"/>
        <v>0.02</v>
      </c>
      <c r="W81" s="291">
        <f t="shared" si="44"/>
        <v>0.02</v>
      </c>
      <c r="X81" s="291">
        <f t="shared" si="44"/>
        <v>0.02</v>
      </c>
      <c r="Y81" s="291">
        <f t="shared" si="44"/>
        <v>0.02</v>
      </c>
    </row>
    <row r="82" spans="1:25" s="259" customFormat="1" hidden="1">
      <c r="A82" s="222"/>
      <c r="B82" s="242"/>
      <c r="C82" s="242"/>
      <c r="D82" s="242"/>
      <c r="E82" s="287" t="s">
        <v>576</v>
      </c>
      <c r="F82" s="295">
        <f t="shared" ref="F82:Y82" si="45">IF(F15=$B$60,F$79+(1-F$79)/2,F$79)</f>
        <v>1</v>
      </c>
      <c r="G82" s="295">
        <f t="shared" si="45"/>
        <v>1</v>
      </c>
      <c r="H82" s="295">
        <f t="shared" si="45"/>
        <v>1</v>
      </c>
      <c r="I82" s="295">
        <f t="shared" si="45"/>
        <v>1</v>
      </c>
      <c r="J82" s="295">
        <f t="shared" si="45"/>
        <v>1</v>
      </c>
      <c r="K82" s="295">
        <f t="shared" si="45"/>
        <v>1</v>
      </c>
      <c r="L82" s="295">
        <f t="shared" si="45"/>
        <v>1</v>
      </c>
      <c r="M82" s="295">
        <f t="shared" si="45"/>
        <v>1</v>
      </c>
      <c r="N82" s="295">
        <f t="shared" si="45"/>
        <v>1</v>
      </c>
      <c r="O82" s="295">
        <f t="shared" si="45"/>
        <v>1</v>
      </c>
      <c r="P82" s="295">
        <f t="shared" si="45"/>
        <v>1</v>
      </c>
      <c r="Q82" s="295">
        <f t="shared" si="45"/>
        <v>1</v>
      </c>
      <c r="R82" s="295">
        <f t="shared" si="45"/>
        <v>1</v>
      </c>
      <c r="S82" s="295">
        <f t="shared" si="45"/>
        <v>1</v>
      </c>
      <c r="T82" s="295">
        <f t="shared" si="45"/>
        <v>1</v>
      </c>
      <c r="U82" s="295">
        <f t="shared" si="45"/>
        <v>1</v>
      </c>
      <c r="V82" s="295">
        <f t="shared" si="45"/>
        <v>1</v>
      </c>
      <c r="W82" s="295">
        <f t="shared" si="45"/>
        <v>1</v>
      </c>
      <c r="X82" s="295">
        <f t="shared" si="45"/>
        <v>1</v>
      </c>
      <c r="Y82" s="295">
        <f t="shared" si="45"/>
        <v>1</v>
      </c>
    </row>
    <row r="83" spans="1:25" s="259" customFormat="1" hidden="1">
      <c r="A83" s="222"/>
      <c r="B83" s="242"/>
      <c r="C83" s="242"/>
      <c r="D83" s="242"/>
      <c r="E83" s="287" t="s">
        <v>575</v>
      </c>
      <c r="F83" s="294">
        <f t="shared" ref="F83:Y83" si="46">INDEX($C$49:$C$53,MATCH(F14,Manure_timing,0))</f>
        <v>0</v>
      </c>
      <c r="G83" s="294">
        <f t="shared" si="46"/>
        <v>0</v>
      </c>
      <c r="H83" s="294">
        <f t="shared" si="46"/>
        <v>0</v>
      </c>
      <c r="I83" s="294">
        <f t="shared" si="46"/>
        <v>0</v>
      </c>
      <c r="J83" s="294">
        <f t="shared" si="46"/>
        <v>0</v>
      </c>
      <c r="K83" s="294">
        <f t="shared" si="46"/>
        <v>0</v>
      </c>
      <c r="L83" s="294">
        <f t="shared" si="46"/>
        <v>0</v>
      </c>
      <c r="M83" s="294">
        <f t="shared" si="46"/>
        <v>0</v>
      </c>
      <c r="N83" s="298">
        <f t="shared" si="46"/>
        <v>0</v>
      </c>
      <c r="O83" s="294">
        <f t="shared" si="46"/>
        <v>0</v>
      </c>
      <c r="P83" s="294">
        <f t="shared" si="46"/>
        <v>0</v>
      </c>
      <c r="Q83" s="294">
        <f t="shared" si="46"/>
        <v>0</v>
      </c>
      <c r="R83" s="294">
        <f t="shared" si="46"/>
        <v>0</v>
      </c>
      <c r="S83" s="294">
        <f t="shared" si="46"/>
        <v>0</v>
      </c>
      <c r="T83" s="294">
        <f t="shared" si="46"/>
        <v>0</v>
      </c>
      <c r="U83" s="294">
        <f t="shared" si="46"/>
        <v>0</v>
      </c>
      <c r="V83" s="294">
        <f t="shared" si="46"/>
        <v>0</v>
      </c>
      <c r="W83" s="294">
        <f t="shared" si="46"/>
        <v>0</v>
      </c>
      <c r="X83" s="294">
        <f t="shared" si="46"/>
        <v>0</v>
      </c>
      <c r="Y83" s="294">
        <f t="shared" si="46"/>
        <v>0</v>
      </c>
    </row>
    <row r="84" spans="1:25" s="259" customFormat="1" hidden="1">
      <c r="A84" s="222"/>
      <c r="B84" s="271" t="s">
        <v>574</v>
      </c>
      <c r="C84" s="242">
        <f>8.316/2.2/3.78</f>
        <v>1</v>
      </c>
      <c r="D84" s="242" t="s">
        <v>573</v>
      </c>
      <c r="E84" s="287" t="s">
        <v>572</v>
      </c>
      <c r="F84" s="294">
        <f t="shared" ref="F84:Y84" si="47">INDEX($C$56:$C$61,MATCH(F15,$B$56:$B$61,0))</f>
        <v>0</v>
      </c>
      <c r="G84" s="294">
        <f t="shared" si="47"/>
        <v>0</v>
      </c>
      <c r="H84" s="294">
        <f t="shared" si="47"/>
        <v>0</v>
      </c>
      <c r="I84" s="294">
        <f t="shared" si="47"/>
        <v>0</v>
      </c>
      <c r="J84" s="294">
        <f t="shared" si="47"/>
        <v>0</v>
      </c>
      <c r="K84" s="294">
        <f t="shared" si="47"/>
        <v>0</v>
      </c>
      <c r="L84" s="294">
        <f t="shared" si="47"/>
        <v>0</v>
      </c>
      <c r="M84" s="294">
        <f t="shared" si="47"/>
        <v>0</v>
      </c>
      <c r="N84" s="298">
        <f t="shared" si="47"/>
        <v>0</v>
      </c>
      <c r="O84" s="294">
        <f t="shared" si="47"/>
        <v>0</v>
      </c>
      <c r="P84" s="294">
        <f t="shared" si="47"/>
        <v>0</v>
      </c>
      <c r="Q84" s="294">
        <f t="shared" si="47"/>
        <v>0</v>
      </c>
      <c r="R84" s="294">
        <f t="shared" si="47"/>
        <v>0</v>
      </c>
      <c r="S84" s="294">
        <f t="shared" si="47"/>
        <v>0</v>
      </c>
      <c r="T84" s="294">
        <f t="shared" si="47"/>
        <v>0</v>
      </c>
      <c r="U84" s="294">
        <f t="shared" si="47"/>
        <v>0</v>
      </c>
      <c r="V84" s="294">
        <f t="shared" si="47"/>
        <v>0</v>
      </c>
      <c r="W84" s="294">
        <f t="shared" si="47"/>
        <v>0</v>
      </c>
      <c r="X84" s="294">
        <f t="shared" si="47"/>
        <v>0</v>
      </c>
      <c r="Y84" s="294">
        <f t="shared" si="47"/>
        <v>0</v>
      </c>
    </row>
    <row r="85" spans="1:25" s="259" customFormat="1" hidden="1">
      <c r="A85" s="222"/>
      <c r="B85" s="242"/>
      <c r="C85" s="242"/>
      <c r="D85" s="242"/>
      <c r="E85" s="287" t="s">
        <v>571</v>
      </c>
      <c r="F85" s="294">
        <f t="shared" ref="F85:Y85" si="48">INDEX($C$64:$C$69,MATCH(F16,$B$64:$B$69,0))</f>
        <v>0</v>
      </c>
      <c r="G85" s="294">
        <f t="shared" si="48"/>
        <v>0</v>
      </c>
      <c r="H85" s="294">
        <f t="shared" si="48"/>
        <v>0</v>
      </c>
      <c r="I85" s="294">
        <f t="shared" si="48"/>
        <v>0</v>
      </c>
      <c r="J85" s="294">
        <f t="shared" si="48"/>
        <v>0</v>
      </c>
      <c r="K85" s="294">
        <f t="shared" si="48"/>
        <v>0</v>
      </c>
      <c r="L85" s="294">
        <f t="shared" si="48"/>
        <v>0</v>
      </c>
      <c r="M85" s="294">
        <f t="shared" si="48"/>
        <v>0</v>
      </c>
      <c r="N85" s="298">
        <f t="shared" si="48"/>
        <v>0</v>
      </c>
      <c r="O85" s="294">
        <f t="shared" si="48"/>
        <v>0</v>
      </c>
      <c r="P85" s="294">
        <f t="shared" si="48"/>
        <v>0</v>
      </c>
      <c r="Q85" s="294">
        <f t="shared" si="48"/>
        <v>0</v>
      </c>
      <c r="R85" s="294">
        <f t="shared" si="48"/>
        <v>0</v>
      </c>
      <c r="S85" s="294">
        <f t="shared" si="48"/>
        <v>0</v>
      </c>
      <c r="T85" s="294">
        <f t="shared" si="48"/>
        <v>0</v>
      </c>
      <c r="U85" s="294">
        <f t="shared" si="48"/>
        <v>0</v>
      </c>
      <c r="V85" s="294">
        <f t="shared" si="48"/>
        <v>0</v>
      </c>
      <c r="W85" s="294">
        <f t="shared" si="48"/>
        <v>0</v>
      </c>
      <c r="X85" s="294">
        <f t="shared" si="48"/>
        <v>0</v>
      </c>
      <c r="Y85" s="294">
        <f t="shared" si="48"/>
        <v>0</v>
      </c>
    </row>
    <row r="86" spans="1:25" s="259" customFormat="1" hidden="1">
      <c r="A86" s="222"/>
      <c r="B86" s="258" t="s">
        <v>570</v>
      </c>
      <c r="C86" s="242">
        <f>2.2*3.78</f>
        <v>8.3160000000000007</v>
      </c>
      <c r="D86" s="242" t="s">
        <v>569</v>
      </c>
      <c r="E86" s="287" t="s">
        <v>568</v>
      </c>
      <c r="F86" s="296">
        <f t="shared" ref="F86:Y86" si="49">IF(OR(F84=0,F85=0),0,IF(F84=1,F83,IF(F85=1,F83,F84+(F83-F84)*F85)))</f>
        <v>0</v>
      </c>
      <c r="G86" s="296">
        <f t="shared" si="49"/>
        <v>0</v>
      </c>
      <c r="H86" s="296">
        <f t="shared" si="49"/>
        <v>0</v>
      </c>
      <c r="I86" s="296">
        <f t="shared" si="49"/>
        <v>0</v>
      </c>
      <c r="J86" s="296">
        <f t="shared" si="49"/>
        <v>0</v>
      </c>
      <c r="K86" s="296">
        <f t="shared" si="49"/>
        <v>0</v>
      </c>
      <c r="L86" s="296">
        <f t="shared" si="49"/>
        <v>0</v>
      </c>
      <c r="M86" s="296">
        <f t="shared" si="49"/>
        <v>0</v>
      </c>
      <c r="N86" s="297">
        <f t="shared" si="49"/>
        <v>0</v>
      </c>
      <c r="O86" s="296">
        <f t="shared" si="49"/>
        <v>0</v>
      </c>
      <c r="P86" s="296">
        <f t="shared" si="49"/>
        <v>0</v>
      </c>
      <c r="Q86" s="296">
        <f t="shared" si="49"/>
        <v>0</v>
      </c>
      <c r="R86" s="296">
        <f t="shared" si="49"/>
        <v>0</v>
      </c>
      <c r="S86" s="296">
        <f t="shared" si="49"/>
        <v>0</v>
      </c>
      <c r="T86" s="296">
        <f t="shared" si="49"/>
        <v>0</v>
      </c>
      <c r="U86" s="296">
        <f t="shared" si="49"/>
        <v>0</v>
      </c>
      <c r="V86" s="296">
        <f t="shared" si="49"/>
        <v>0</v>
      </c>
      <c r="W86" s="296">
        <f t="shared" si="49"/>
        <v>0</v>
      </c>
      <c r="X86" s="296">
        <f t="shared" si="49"/>
        <v>0</v>
      </c>
      <c r="Y86" s="296">
        <f t="shared" si="49"/>
        <v>0</v>
      </c>
    </row>
    <row r="87" spans="1:25" s="259" customFormat="1" hidden="1">
      <c r="A87" s="222"/>
      <c r="B87" s="242"/>
      <c r="C87" s="242"/>
      <c r="D87" s="242"/>
      <c r="E87" s="287" t="s">
        <v>567</v>
      </c>
      <c r="F87" s="286">
        <f t="shared" ref="F87:Y87" si="50">MAX(0,F13-(F$80/2*F13/(IF(F$13+F$18+F$23=0,1,(F$13+F$18+F$23)))))</f>
        <v>0</v>
      </c>
      <c r="G87" s="286">
        <f t="shared" si="50"/>
        <v>0</v>
      </c>
      <c r="H87" s="286">
        <f t="shared" si="50"/>
        <v>0</v>
      </c>
      <c r="I87" s="286">
        <f t="shared" si="50"/>
        <v>0</v>
      </c>
      <c r="J87" s="286">
        <f t="shared" si="50"/>
        <v>0</v>
      </c>
      <c r="K87" s="286">
        <f t="shared" si="50"/>
        <v>0</v>
      </c>
      <c r="L87" s="286">
        <f t="shared" si="50"/>
        <v>0</v>
      </c>
      <c r="M87" s="286">
        <f t="shared" si="50"/>
        <v>0</v>
      </c>
      <c r="N87" s="286">
        <f t="shared" si="50"/>
        <v>0</v>
      </c>
      <c r="O87" s="286">
        <f t="shared" si="50"/>
        <v>0</v>
      </c>
      <c r="P87" s="286">
        <f t="shared" si="50"/>
        <v>0</v>
      </c>
      <c r="Q87" s="286">
        <f t="shared" si="50"/>
        <v>0</v>
      </c>
      <c r="R87" s="286">
        <f t="shared" si="50"/>
        <v>0</v>
      </c>
      <c r="S87" s="286">
        <f t="shared" si="50"/>
        <v>0</v>
      </c>
      <c r="T87" s="286">
        <f t="shared" si="50"/>
        <v>0</v>
      </c>
      <c r="U87" s="286">
        <f t="shared" si="50"/>
        <v>0</v>
      </c>
      <c r="V87" s="286">
        <f t="shared" si="50"/>
        <v>0</v>
      </c>
      <c r="W87" s="286">
        <f t="shared" si="50"/>
        <v>0</v>
      </c>
      <c r="X87" s="286">
        <f t="shared" si="50"/>
        <v>0</v>
      </c>
      <c r="Y87" s="286">
        <f t="shared" si="50"/>
        <v>0</v>
      </c>
    </row>
    <row r="88" spans="1:25" s="259" customFormat="1" hidden="1">
      <c r="A88" s="222"/>
      <c r="B88" s="242"/>
      <c r="C88" s="242"/>
      <c r="D88" s="242"/>
      <c r="E88" s="287" t="s">
        <v>566</v>
      </c>
      <c r="F88" s="286">
        <f t="shared" ref="F88:Y88" si="51">MAX(0,(F87-(F13*$C$32*F86)-(F13*F82*F86*Manure_runoff_factor*F114*F115))*0.44/2*IF(F84=1,3,1)*IF(F$12&lt;=10,0.2,MAX(0.03,1.1277*F$12^(-0.7639))))</f>
        <v>0</v>
      </c>
      <c r="G88" s="286">
        <f t="shared" si="51"/>
        <v>0</v>
      </c>
      <c r="H88" s="286">
        <f t="shared" si="51"/>
        <v>0</v>
      </c>
      <c r="I88" s="286">
        <f t="shared" si="51"/>
        <v>0</v>
      </c>
      <c r="J88" s="286">
        <f t="shared" si="51"/>
        <v>0</v>
      </c>
      <c r="K88" s="286">
        <f t="shared" si="51"/>
        <v>0</v>
      </c>
      <c r="L88" s="286">
        <f t="shared" si="51"/>
        <v>0</v>
      </c>
      <c r="M88" s="286">
        <f t="shared" si="51"/>
        <v>0</v>
      </c>
      <c r="N88" s="286">
        <f t="shared" si="51"/>
        <v>0</v>
      </c>
      <c r="O88" s="286">
        <f t="shared" si="51"/>
        <v>0</v>
      </c>
      <c r="P88" s="286">
        <f t="shared" si="51"/>
        <v>0</v>
      </c>
      <c r="Q88" s="286">
        <f t="shared" si="51"/>
        <v>0</v>
      </c>
      <c r="R88" s="286">
        <f t="shared" si="51"/>
        <v>0</v>
      </c>
      <c r="S88" s="286">
        <f t="shared" si="51"/>
        <v>0</v>
      </c>
      <c r="T88" s="286">
        <f t="shared" si="51"/>
        <v>0</v>
      </c>
      <c r="U88" s="286">
        <f t="shared" si="51"/>
        <v>0</v>
      </c>
      <c r="V88" s="286">
        <f t="shared" si="51"/>
        <v>0</v>
      </c>
      <c r="W88" s="286">
        <f t="shared" si="51"/>
        <v>0</v>
      </c>
      <c r="X88" s="286">
        <f t="shared" si="51"/>
        <v>0</v>
      </c>
      <c r="Y88" s="286">
        <f t="shared" si="51"/>
        <v>0</v>
      </c>
    </row>
    <row r="89" spans="1:25" s="259" customFormat="1" hidden="1">
      <c r="A89" s="222"/>
      <c r="B89" s="242"/>
      <c r="C89" s="242"/>
      <c r="D89" s="242"/>
      <c r="E89" s="285" t="s">
        <v>565</v>
      </c>
      <c r="F89" s="284">
        <f t="shared" ref="F89:Y89" si="52">MAX(0,(F87-(F13*$C$32*F86)-(F13*F82*F86*Manure_runoff_factor*F114*F115))*0.44/2*IF(F84=1,7.5,1))</f>
        <v>0</v>
      </c>
      <c r="G89" s="284">
        <f t="shared" si="52"/>
        <v>0</v>
      </c>
      <c r="H89" s="284">
        <f t="shared" si="52"/>
        <v>0</v>
      </c>
      <c r="I89" s="284">
        <f t="shared" si="52"/>
        <v>0</v>
      </c>
      <c r="J89" s="284">
        <f t="shared" si="52"/>
        <v>0</v>
      </c>
      <c r="K89" s="284">
        <f t="shared" si="52"/>
        <v>0</v>
      </c>
      <c r="L89" s="284">
        <f t="shared" si="52"/>
        <v>0</v>
      </c>
      <c r="M89" s="284">
        <f t="shared" si="52"/>
        <v>0</v>
      </c>
      <c r="N89" s="284">
        <f t="shared" si="52"/>
        <v>0</v>
      </c>
      <c r="O89" s="284">
        <f t="shared" si="52"/>
        <v>0</v>
      </c>
      <c r="P89" s="284">
        <f t="shared" si="52"/>
        <v>0</v>
      </c>
      <c r="Q89" s="284">
        <f t="shared" si="52"/>
        <v>0</v>
      </c>
      <c r="R89" s="284">
        <f t="shared" si="52"/>
        <v>0</v>
      </c>
      <c r="S89" s="284">
        <f t="shared" si="52"/>
        <v>0</v>
      </c>
      <c r="T89" s="284">
        <f t="shared" si="52"/>
        <v>0</v>
      </c>
      <c r="U89" s="284">
        <f t="shared" si="52"/>
        <v>0</v>
      </c>
      <c r="V89" s="284">
        <f t="shared" si="52"/>
        <v>0</v>
      </c>
      <c r="W89" s="284">
        <f t="shared" si="52"/>
        <v>0</v>
      </c>
      <c r="X89" s="284">
        <f t="shared" si="52"/>
        <v>0</v>
      </c>
      <c r="Y89" s="284">
        <f t="shared" si="52"/>
        <v>0</v>
      </c>
    </row>
    <row r="90" spans="1:25" s="259" customFormat="1" hidden="1">
      <c r="A90" s="222"/>
      <c r="B90" s="242"/>
      <c r="C90" s="242"/>
      <c r="D90" s="242"/>
      <c r="E90" s="292" t="s">
        <v>564</v>
      </c>
      <c r="F90" s="291">
        <f t="shared" ref="F90:Y90" si="53">IF(F92&lt;=0.6,Manure_runoff_factor*GS_adjustment_factor,Manure_runoff_factor)</f>
        <v>0.02</v>
      </c>
      <c r="G90" s="291">
        <f t="shared" si="53"/>
        <v>0.02</v>
      </c>
      <c r="H90" s="291">
        <f t="shared" si="53"/>
        <v>0.02</v>
      </c>
      <c r="I90" s="291">
        <f t="shared" si="53"/>
        <v>0.02</v>
      </c>
      <c r="J90" s="291">
        <f t="shared" si="53"/>
        <v>0.02</v>
      </c>
      <c r="K90" s="291">
        <f t="shared" si="53"/>
        <v>0.02</v>
      </c>
      <c r="L90" s="291">
        <f t="shared" si="53"/>
        <v>0.02</v>
      </c>
      <c r="M90" s="291">
        <f t="shared" si="53"/>
        <v>0.02</v>
      </c>
      <c r="N90" s="291">
        <f t="shared" si="53"/>
        <v>0.02</v>
      </c>
      <c r="O90" s="291">
        <f t="shared" si="53"/>
        <v>0.02</v>
      </c>
      <c r="P90" s="291">
        <f t="shared" si="53"/>
        <v>0.02</v>
      </c>
      <c r="Q90" s="291">
        <f t="shared" si="53"/>
        <v>0.02</v>
      </c>
      <c r="R90" s="291">
        <f t="shared" si="53"/>
        <v>0.02</v>
      </c>
      <c r="S90" s="291">
        <f t="shared" si="53"/>
        <v>0.02</v>
      </c>
      <c r="T90" s="291">
        <f t="shared" si="53"/>
        <v>0.02</v>
      </c>
      <c r="U90" s="291">
        <f t="shared" si="53"/>
        <v>0.02</v>
      </c>
      <c r="V90" s="291">
        <f t="shared" si="53"/>
        <v>0.02</v>
      </c>
      <c r="W90" s="291">
        <f t="shared" si="53"/>
        <v>0.02</v>
      </c>
      <c r="X90" s="291">
        <f t="shared" si="53"/>
        <v>0.02</v>
      </c>
      <c r="Y90" s="291">
        <f t="shared" si="53"/>
        <v>0.02</v>
      </c>
    </row>
    <row r="91" spans="1:25" s="259" customFormat="1" hidden="1">
      <c r="A91" s="222"/>
      <c r="B91" s="235" t="s">
        <v>563</v>
      </c>
      <c r="C91" s="242"/>
      <c r="D91" s="242"/>
      <c r="E91" s="287" t="s">
        <v>562</v>
      </c>
      <c r="F91" s="295">
        <f t="shared" ref="F91:Y91" si="54">IF(F20=$B$60,F$79+(1-F$79)/2,F$79)</f>
        <v>1</v>
      </c>
      <c r="G91" s="295">
        <f t="shared" si="54"/>
        <v>1</v>
      </c>
      <c r="H91" s="295">
        <f t="shared" si="54"/>
        <v>1</v>
      </c>
      <c r="I91" s="295">
        <f t="shared" si="54"/>
        <v>1</v>
      </c>
      <c r="J91" s="295">
        <f t="shared" si="54"/>
        <v>1</v>
      </c>
      <c r="K91" s="295">
        <f t="shared" si="54"/>
        <v>1</v>
      </c>
      <c r="L91" s="295">
        <f t="shared" si="54"/>
        <v>1</v>
      </c>
      <c r="M91" s="295">
        <f t="shared" si="54"/>
        <v>1</v>
      </c>
      <c r="N91" s="295">
        <f t="shared" si="54"/>
        <v>1</v>
      </c>
      <c r="O91" s="295">
        <f t="shared" si="54"/>
        <v>1</v>
      </c>
      <c r="P91" s="295">
        <f t="shared" si="54"/>
        <v>1</v>
      </c>
      <c r="Q91" s="295">
        <f t="shared" si="54"/>
        <v>1</v>
      </c>
      <c r="R91" s="295">
        <f t="shared" si="54"/>
        <v>1</v>
      </c>
      <c r="S91" s="295">
        <f t="shared" si="54"/>
        <v>1</v>
      </c>
      <c r="T91" s="295">
        <f t="shared" si="54"/>
        <v>1</v>
      </c>
      <c r="U91" s="295">
        <f t="shared" si="54"/>
        <v>1</v>
      </c>
      <c r="V91" s="295">
        <f t="shared" si="54"/>
        <v>1</v>
      </c>
      <c r="W91" s="295">
        <f t="shared" si="54"/>
        <v>1</v>
      </c>
      <c r="X91" s="295">
        <f t="shared" si="54"/>
        <v>1</v>
      </c>
      <c r="Y91" s="295">
        <f t="shared" si="54"/>
        <v>1</v>
      </c>
    </row>
    <row r="92" spans="1:25" s="259" customFormat="1" hidden="1">
      <c r="A92" s="222"/>
      <c r="B92" s="242">
        <f>VLOOKUP(F19,B49:C53,2,0)</f>
        <v>0</v>
      </c>
      <c r="C92" s="242"/>
      <c r="D92" s="242"/>
      <c r="E92" s="287" t="s">
        <v>561</v>
      </c>
      <c r="F92" s="294">
        <f t="shared" ref="F92:Y92" si="55">INDEX($C$49:$C$53,MATCH(F19,Manure_timing,0))</f>
        <v>0</v>
      </c>
      <c r="G92" s="294">
        <f t="shared" si="55"/>
        <v>0</v>
      </c>
      <c r="H92" s="294">
        <f t="shared" si="55"/>
        <v>0</v>
      </c>
      <c r="I92" s="294">
        <f t="shared" si="55"/>
        <v>0</v>
      </c>
      <c r="J92" s="294">
        <f t="shared" si="55"/>
        <v>0</v>
      </c>
      <c r="K92" s="294">
        <f t="shared" si="55"/>
        <v>0</v>
      </c>
      <c r="L92" s="294">
        <f t="shared" si="55"/>
        <v>0</v>
      </c>
      <c r="M92" s="294">
        <f t="shared" si="55"/>
        <v>0</v>
      </c>
      <c r="N92" s="294">
        <f t="shared" si="55"/>
        <v>0</v>
      </c>
      <c r="O92" s="294">
        <f t="shared" si="55"/>
        <v>0</v>
      </c>
      <c r="P92" s="294">
        <f t="shared" si="55"/>
        <v>0</v>
      </c>
      <c r="Q92" s="294">
        <f t="shared" si="55"/>
        <v>0</v>
      </c>
      <c r="R92" s="294">
        <f t="shared" si="55"/>
        <v>0</v>
      </c>
      <c r="S92" s="294">
        <f t="shared" si="55"/>
        <v>0</v>
      </c>
      <c r="T92" s="294">
        <f t="shared" si="55"/>
        <v>0</v>
      </c>
      <c r="U92" s="294">
        <f t="shared" si="55"/>
        <v>0</v>
      </c>
      <c r="V92" s="294">
        <f t="shared" si="55"/>
        <v>0</v>
      </c>
      <c r="W92" s="294">
        <f t="shared" si="55"/>
        <v>0</v>
      </c>
      <c r="X92" s="294">
        <f t="shared" si="55"/>
        <v>0</v>
      </c>
      <c r="Y92" s="294">
        <f t="shared" si="55"/>
        <v>0</v>
      </c>
    </row>
    <row r="93" spans="1:25" s="259" customFormat="1" hidden="1">
      <c r="A93" s="222"/>
      <c r="B93" s="242"/>
      <c r="C93" s="242"/>
      <c r="D93" s="242"/>
      <c r="E93" s="287" t="s">
        <v>560</v>
      </c>
      <c r="F93" s="294">
        <f t="shared" ref="F93:Y93" si="56">INDEX($C$56:$C$61,MATCH(F20,$B$56:$B$61,0))</f>
        <v>0</v>
      </c>
      <c r="G93" s="294">
        <f t="shared" si="56"/>
        <v>0</v>
      </c>
      <c r="H93" s="294">
        <f t="shared" si="56"/>
        <v>0</v>
      </c>
      <c r="I93" s="294">
        <f t="shared" si="56"/>
        <v>0</v>
      </c>
      <c r="J93" s="294">
        <f t="shared" si="56"/>
        <v>0</v>
      </c>
      <c r="K93" s="294">
        <f t="shared" si="56"/>
        <v>0</v>
      </c>
      <c r="L93" s="294">
        <f t="shared" si="56"/>
        <v>0</v>
      </c>
      <c r="M93" s="294">
        <f t="shared" si="56"/>
        <v>0</v>
      </c>
      <c r="N93" s="294">
        <f t="shared" si="56"/>
        <v>0</v>
      </c>
      <c r="O93" s="294">
        <f t="shared" si="56"/>
        <v>0</v>
      </c>
      <c r="P93" s="294">
        <f t="shared" si="56"/>
        <v>0</v>
      </c>
      <c r="Q93" s="294">
        <f t="shared" si="56"/>
        <v>0</v>
      </c>
      <c r="R93" s="294">
        <f t="shared" si="56"/>
        <v>0</v>
      </c>
      <c r="S93" s="294">
        <f t="shared" si="56"/>
        <v>0</v>
      </c>
      <c r="T93" s="294">
        <f t="shared" si="56"/>
        <v>0</v>
      </c>
      <c r="U93" s="294">
        <f t="shared" si="56"/>
        <v>0</v>
      </c>
      <c r="V93" s="294">
        <f t="shared" si="56"/>
        <v>0</v>
      </c>
      <c r="W93" s="294">
        <f t="shared" si="56"/>
        <v>0</v>
      </c>
      <c r="X93" s="294">
        <f t="shared" si="56"/>
        <v>0</v>
      </c>
      <c r="Y93" s="294">
        <f t="shared" si="56"/>
        <v>0</v>
      </c>
    </row>
    <row r="94" spans="1:25" s="259" customFormat="1" hidden="1">
      <c r="A94" s="222"/>
      <c r="B94" s="242"/>
      <c r="C94" s="242"/>
      <c r="D94" s="242"/>
      <c r="E94" s="287" t="s">
        <v>559</v>
      </c>
      <c r="F94" s="294">
        <f t="shared" ref="F94:Y94" si="57">INDEX($C$64:$C$69,MATCH(F21,$B$64:$B$69,0))</f>
        <v>0</v>
      </c>
      <c r="G94" s="294">
        <f t="shared" si="57"/>
        <v>0</v>
      </c>
      <c r="H94" s="294">
        <f t="shared" si="57"/>
        <v>0</v>
      </c>
      <c r="I94" s="294">
        <f t="shared" si="57"/>
        <v>0</v>
      </c>
      <c r="J94" s="294">
        <f t="shared" si="57"/>
        <v>0</v>
      </c>
      <c r="K94" s="294">
        <f t="shared" si="57"/>
        <v>0</v>
      </c>
      <c r="L94" s="294">
        <f t="shared" si="57"/>
        <v>0</v>
      </c>
      <c r="M94" s="294">
        <f t="shared" si="57"/>
        <v>0</v>
      </c>
      <c r="N94" s="294">
        <f t="shared" si="57"/>
        <v>0</v>
      </c>
      <c r="O94" s="294">
        <f t="shared" si="57"/>
        <v>0</v>
      </c>
      <c r="P94" s="294">
        <f t="shared" si="57"/>
        <v>0</v>
      </c>
      <c r="Q94" s="294">
        <f t="shared" si="57"/>
        <v>0</v>
      </c>
      <c r="R94" s="294">
        <f t="shared" si="57"/>
        <v>0</v>
      </c>
      <c r="S94" s="294">
        <f t="shared" si="57"/>
        <v>0</v>
      </c>
      <c r="T94" s="294">
        <f t="shared" si="57"/>
        <v>0</v>
      </c>
      <c r="U94" s="294">
        <f t="shared" si="57"/>
        <v>0</v>
      </c>
      <c r="V94" s="294">
        <f t="shared" si="57"/>
        <v>0</v>
      </c>
      <c r="W94" s="294">
        <f t="shared" si="57"/>
        <v>0</v>
      </c>
      <c r="X94" s="294">
        <f t="shared" si="57"/>
        <v>0</v>
      </c>
      <c r="Y94" s="294">
        <f t="shared" si="57"/>
        <v>0</v>
      </c>
    </row>
    <row r="95" spans="1:25" s="259" customFormat="1" hidden="1">
      <c r="A95" s="222"/>
      <c r="B95" s="242"/>
      <c r="C95" s="242"/>
      <c r="D95" s="242"/>
      <c r="E95" s="287" t="s">
        <v>558</v>
      </c>
      <c r="F95" s="286">
        <f t="shared" ref="F95:Y95" si="58">IF(OR(F93=0,F94=0),0,IF(F93=1,F92,IF(F94=1,F92,F93+(F92-F93)*F94)))</f>
        <v>0</v>
      </c>
      <c r="G95" s="286">
        <f t="shared" si="58"/>
        <v>0</v>
      </c>
      <c r="H95" s="286">
        <f t="shared" si="58"/>
        <v>0</v>
      </c>
      <c r="I95" s="286">
        <f t="shared" si="58"/>
        <v>0</v>
      </c>
      <c r="J95" s="286">
        <f t="shared" si="58"/>
        <v>0</v>
      </c>
      <c r="K95" s="286">
        <f t="shared" si="58"/>
        <v>0</v>
      </c>
      <c r="L95" s="286">
        <f t="shared" si="58"/>
        <v>0</v>
      </c>
      <c r="M95" s="286">
        <f t="shared" si="58"/>
        <v>0</v>
      </c>
      <c r="N95" s="286">
        <f t="shared" si="58"/>
        <v>0</v>
      </c>
      <c r="O95" s="286">
        <f t="shared" si="58"/>
        <v>0</v>
      </c>
      <c r="P95" s="286">
        <f t="shared" si="58"/>
        <v>0</v>
      </c>
      <c r="Q95" s="286">
        <f t="shared" si="58"/>
        <v>0</v>
      </c>
      <c r="R95" s="286">
        <f t="shared" si="58"/>
        <v>0</v>
      </c>
      <c r="S95" s="286">
        <f t="shared" si="58"/>
        <v>0</v>
      </c>
      <c r="T95" s="286">
        <f t="shared" si="58"/>
        <v>0</v>
      </c>
      <c r="U95" s="286">
        <f t="shared" si="58"/>
        <v>0</v>
      </c>
      <c r="V95" s="286">
        <f t="shared" si="58"/>
        <v>0</v>
      </c>
      <c r="W95" s="286">
        <f t="shared" si="58"/>
        <v>0</v>
      </c>
      <c r="X95" s="286">
        <f t="shared" si="58"/>
        <v>0</v>
      </c>
      <c r="Y95" s="286">
        <f t="shared" si="58"/>
        <v>0</v>
      </c>
    </row>
    <row r="96" spans="1:25" s="259" customFormat="1" hidden="1">
      <c r="A96" s="222"/>
      <c r="B96" s="242"/>
      <c r="C96" s="242"/>
      <c r="D96" s="242"/>
      <c r="E96" s="287" t="s">
        <v>557</v>
      </c>
      <c r="F96" s="286">
        <f t="shared" ref="F96:Y96" si="59">MAX(0,F18-(F$80/2*F18/(IF(F$13+F$18+F$23=0,1,(F$13+F$18+F$23)))))</f>
        <v>0</v>
      </c>
      <c r="G96" s="286">
        <f t="shared" si="59"/>
        <v>0</v>
      </c>
      <c r="H96" s="286">
        <f t="shared" si="59"/>
        <v>0</v>
      </c>
      <c r="I96" s="286">
        <f t="shared" si="59"/>
        <v>0</v>
      </c>
      <c r="J96" s="286">
        <f t="shared" si="59"/>
        <v>0</v>
      </c>
      <c r="K96" s="286">
        <f t="shared" si="59"/>
        <v>0</v>
      </c>
      <c r="L96" s="286">
        <f t="shared" si="59"/>
        <v>0</v>
      </c>
      <c r="M96" s="286">
        <f t="shared" si="59"/>
        <v>0</v>
      </c>
      <c r="N96" s="286">
        <f t="shared" si="59"/>
        <v>0</v>
      </c>
      <c r="O96" s="286">
        <f t="shared" si="59"/>
        <v>0</v>
      </c>
      <c r="P96" s="286">
        <f t="shared" si="59"/>
        <v>0</v>
      </c>
      <c r="Q96" s="286">
        <f t="shared" si="59"/>
        <v>0</v>
      </c>
      <c r="R96" s="286">
        <f t="shared" si="59"/>
        <v>0</v>
      </c>
      <c r="S96" s="286">
        <f t="shared" si="59"/>
        <v>0</v>
      </c>
      <c r="T96" s="286">
        <f t="shared" si="59"/>
        <v>0</v>
      </c>
      <c r="U96" s="286">
        <f t="shared" si="59"/>
        <v>0</v>
      </c>
      <c r="V96" s="286">
        <f t="shared" si="59"/>
        <v>0</v>
      </c>
      <c r="W96" s="286">
        <f t="shared" si="59"/>
        <v>0</v>
      </c>
      <c r="X96" s="286">
        <f t="shared" si="59"/>
        <v>0</v>
      </c>
      <c r="Y96" s="286">
        <f t="shared" si="59"/>
        <v>0</v>
      </c>
    </row>
    <row r="97" spans="1:25" s="259" customFormat="1" hidden="1">
      <c r="A97" s="222"/>
      <c r="B97" s="242"/>
      <c r="C97" s="242"/>
      <c r="D97" s="242"/>
      <c r="E97" s="287" t="s">
        <v>556</v>
      </c>
      <c r="F97" s="286">
        <f t="shared" ref="F97:Y97" si="60">MAX(0,(F96-(F18*$C$32*F95)-(F18*F91*F95*Manure_runoff_factor*F114*F115))*0.44/2*IF(F93=1,3,1)*IF(F$12&lt;=10,0.2,MAX(0.03,1.1277*F$12^(-0.7639))))</f>
        <v>0</v>
      </c>
      <c r="G97" s="286">
        <f t="shared" si="60"/>
        <v>0</v>
      </c>
      <c r="H97" s="286">
        <f t="shared" si="60"/>
        <v>0</v>
      </c>
      <c r="I97" s="286">
        <f t="shared" si="60"/>
        <v>0</v>
      </c>
      <c r="J97" s="286">
        <f t="shared" si="60"/>
        <v>0</v>
      </c>
      <c r="K97" s="286">
        <f t="shared" si="60"/>
        <v>0</v>
      </c>
      <c r="L97" s="286">
        <f t="shared" si="60"/>
        <v>0</v>
      </c>
      <c r="M97" s="286">
        <f t="shared" si="60"/>
        <v>0</v>
      </c>
      <c r="N97" s="286">
        <f t="shared" si="60"/>
        <v>0</v>
      </c>
      <c r="O97" s="286">
        <f t="shared" si="60"/>
        <v>0</v>
      </c>
      <c r="P97" s="286">
        <f t="shared" si="60"/>
        <v>0</v>
      </c>
      <c r="Q97" s="286">
        <f t="shared" si="60"/>
        <v>0</v>
      </c>
      <c r="R97" s="286">
        <f t="shared" si="60"/>
        <v>0</v>
      </c>
      <c r="S97" s="286">
        <f t="shared" si="60"/>
        <v>0</v>
      </c>
      <c r="T97" s="286">
        <f t="shared" si="60"/>
        <v>0</v>
      </c>
      <c r="U97" s="286">
        <f t="shared" si="60"/>
        <v>0</v>
      </c>
      <c r="V97" s="286">
        <f t="shared" si="60"/>
        <v>0</v>
      </c>
      <c r="W97" s="286">
        <f t="shared" si="60"/>
        <v>0</v>
      </c>
      <c r="X97" s="286">
        <f t="shared" si="60"/>
        <v>0</v>
      </c>
      <c r="Y97" s="286">
        <f t="shared" si="60"/>
        <v>0</v>
      </c>
    </row>
    <row r="98" spans="1:25" s="259" customFormat="1" hidden="1">
      <c r="A98" s="222"/>
      <c r="B98" s="242"/>
      <c r="C98" s="242"/>
      <c r="D98" s="242"/>
      <c r="E98" s="285" t="s">
        <v>555</v>
      </c>
      <c r="F98" s="284">
        <f t="shared" ref="F98:Y98" si="61">MAX(0,(F96-(F18*$C$32*F95)-(F18*F91*F95*Manure_runoff_factor*F114*F115))*0.44/2*IF(F93=1,7.5,1))</f>
        <v>0</v>
      </c>
      <c r="G98" s="284">
        <f t="shared" si="61"/>
        <v>0</v>
      </c>
      <c r="H98" s="284">
        <f t="shared" si="61"/>
        <v>0</v>
      </c>
      <c r="I98" s="284">
        <f t="shared" si="61"/>
        <v>0</v>
      </c>
      <c r="J98" s="284">
        <f t="shared" si="61"/>
        <v>0</v>
      </c>
      <c r="K98" s="284">
        <f t="shared" si="61"/>
        <v>0</v>
      </c>
      <c r="L98" s="284">
        <f t="shared" si="61"/>
        <v>0</v>
      </c>
      <c r="M98" s="284">
        <f t="shared" si="61"/>
        <v>0</v>
      </c>
      <c r="N98" s="284">
        <f t="shared" si="61"/>
        <v>0</v>
      </c>
      <c r="O98" s="284">
        <f t="shared" si="61"/>
        <v>0</v>
      </c>
      <c r="P98" s="284">
        <f t="shared" si="61"/>
        <v>0</v>
      </c>
      <c r="Q98" s="284">
        <f t="shared" si="61"/>
        <v>0</v>
      </c>
      <c r="R98" s="284">
        <f t="shared" si="61"/>
        <v>0</v>
      </c>
      <c r="S98" s="284">
        <f t="shared" si="61"/>
        <v>0</v>
      </c>
      <c r="T98" s="284">
        <f t="shared" si="61"/>
        <v>0</v>
      </c>
      <c r="U98" s="284">
        <f t="shared" si="61"/>
        <v>0</v>
      </c>
      <c r="V98" s="284">
        <f t="shared" si="61"/>
        <v>0</v>
      </c>
      <c r="W98" s="284">
        <f t="shared" si="61"/>
        <v>0</v>
      </c>
      <c r="X98" s="284">
        <f t="shared" si="61"/>
        <v>0</v>
      </c>
      <c r="Y98" s="284">
        <f t="shared" si="61"/>
        <v>0</v>
      </c>
    </row>
    <row r="99" spans="1:25" s="259" customFormat="1" hidden="1">
      <c r="A99" s="222"/>
      <c r="B99" s="242"/>
      <c r="C99" s="242"/>
      <c r="D99" s="242"/>
      <c r="E99" s="292"/>
      <c r="F99" s="293"/>
      <c r="G99" s="293"/>
      <c r="H99" s="293"/>
      <c r="I99" s="293"/>
      <c r="J99" s="293"/>
      <c r="K99" s="293"/>
      <c r="L99" s="293"/>
      <c r="M99" s="293"/>
      <c r="N99" s="293"/>
      <c r="O99" s="293"/>
      <c r="P99" s="293"/>
      <c r="Q99" s="293"/>
      <c r="R99" s="293"/>
      <c r="S99" s="293"/>
      <c r="T99" s="293"/>
      <c r="U99" s="293"/>
      <c r="V99" s="293"/>
      <c r="W99" s="293"/>
      <c r="X99" s="293"/>
      <c r="Y99" s="293"/>
    </row>
    <row r="100" spans="1:25" s="259" customFormat="1" hidden="1">
      <c r="A100" s="222"/>
      <c r="B100" s="242"/>
      <c r="C100" s="242"/>
      <c r="D100" s="242"/>
      <c r="E100" s="266" t="s">
        <v>554</v>
      </c>
      <c r="F100" s="266">
        <f t="shared" ref="F100:Y100" si="62">IF(OR(F$14=$B$51),F$69+F$70,F$69)</f>
        <v>0.23217274999999996</v>
      </c>
      <c r="G100" s="266">
        <f t="shared" si="62"/>
        <v>0.23217274999999996</v>
      </c>
      <c r="H100" s="266">
        <f t="shared" si="62"/>
        <v>0.23217274999999996</v>
      </c>
      <c r="I100" s="266">
        <f t="shared" si="62"/>
        <v>0.23217274999999996</v>
      </c>
      <c r="J100" s="266">
        <f t="shared" si="62"/>
        <v>0.23217274999999996</v>
      </c>
      <c r="K100" s="266">
        <f t="shared" si="62"/>
        <v>0.23217274999999996</v>
      </c>
      <c r="L100" s="266">
        <f t="shared" si="62"/>
        <v>0.23217274999999996</v>
      </c>
      <c r="M100" s="266">
        <f t="shared" si="62"/>
        <v>0.23217274999999996</v>
      </c>
      <c r="N100" s="266">
        <f t="shared" si="62"/>
        <v>0.23217274999999996</v>
      </c>
      <c r="O100" s="266">
        <f t="shared" si="62"/>
        <v>0.23217274999999996</v>
      </c>
      <c r="P100" s="266">
        <f t="shared" si="62"/>
        <v>0.23217274999999996</v>
      </c>
      <c r="Q100" s="266">
        <f t="shared" si="62"/>
        <v>0.23217274999999996</v>
      </c>
      <c r="R100" s="266">
        <f t="shared" si="62"/>
        <v>0.23217274999999996</v>
      </c>
      <c r="S100" s="266">
        <f t="shared" si="62"/>
        <v>0.23217274999999996</v>
      </c>
      <c r="T100" s="266">
        <f t="shared" si="62"/>
        <v>0.23217274999999996</v>
      </c>
      <c r="U100" s="266">
        <f t="shared" si="62"/>
        <v>0.23217274999999996</v>
      </c>
      <c r="V100" s="266">
        <f t="shared" si="62"/>
        <v>0.23217274999999996</v>
      </c>
      <c r="W100" s="266">
        <f t="shared" si="62"/>
        <v>0.23217274999999996</v>
      </c>
      <c r="X100" s="266">
        <f t="shared" si="62"/>
        <v>0.23217274999999996</v>
      </c>
      <c r="Y100" s="266">
        <f t="shared" si="62"/>
        <v>0.23217274999999996</v>
      </c>
    </row>
    <row r="101" spans="1:25" s="259" customFormat="1" hidden="1">
      <c r="A101" s="222"/>
      <c r="B101" s="222"/>
      <c r="C101" s="222"/>
      <c r="D101" s="242"/>
      <c r="E101" s="264" t="s">
        <v>553</v>
      </c>
      <c r="F101" s="264">
        <f t="shared" ref="F101:Y101" si="63">IF(OR(F$19=$B$51),F$69+F$70,F$69)</f>
        <v>0.23217274999999996</v>
      </c>
      <c r="G101" s="264">
        <f t="shared" si="63"/>
        <v>0.23217274999999996</v>
      </c>
      <c r="H101" s="264">
        <f t="shared" si="63"/>
        <v>0.23217274999999996</v>
      </c>
      <c r="I101" s="264">
        <f t="shared" si="63"/>
        <v>0.23217274999999996</v>
      </c>
      <c r="J101" s="264">
        <f t="shared" si="63"/>
        <v>0.23217274999999996</v>
      </c>
      <c r="K101" s="264">
        <f t="shared" si="63"/>
        <v>0.23217274999999996</v>
      </c>
      <c r="L101" s="264">
        <f t="shared" si="63"/>
        <v>0.23217274999999996</v>
      </c>
      <c r="M101" s="264">
        <f t="shared" si="63"/>
        <v>0.23217274999999996</v>
      </c>
      <c r="N101" s="264">
        <f t="shared" si="63"/>
        <v>0.23217274999999996</v>
      </c>
      <c r="O101" s="264">
        <f t="shared" si="63"/>
        <v>0.23217274999999996</v>
      </c>
      <c r="P101" s="264">
        <f t="shared" si="63"/>
        <v>0.23217274999999996</v>
      </c>
      <c r="Q101" s="264">
        <f t="shared" si="63"/>
        <v>0.23217274999999996</v>
      </c>
      <c r="R101" s="264">
        <f t="shared" si="63"/>
        <v>0.23217274999999996</v>
      </c>
      <c r="S101" s="264">
        <f t="shared" si="63"/>
        <v>0.23217274999999996</v>
      </c>
      <c r="T101" s="264">
        <f t="shared" si="63"/>
        <v>0.23217274999999996</v>
      </c>
      <c r="U101" s="264">
        <f t="shared" si="63"/>
        <v>0.23217274999999996</v>
      </c>
      <c r="V101" s="264">
        <f t="shared" si="63"/>
        <v>0.23217274999999996</v>
      </c>
      <c r="W101" s="264">
        <f t="shared" si="63"/>
        <v>0.23217274999999996</v>
      </c>
      <c r="X101" s="264">
        <f t="shared" si="63"/>
        <v>0.23217274999999996</v>
      </c>
      <c r="Y101" s="264">
        <f t="shared" si="63"/>
        <v>0.23217274999999996</v>
      </c>
    </row>
    <row r="102" spans="1:25" s="259" customFormat="1" hidden="1">
      <c r="A102" s="222"/>
      <c r="B102" s="256" t="s">
        <v>552</v>
      </c>
      <c r="C102" s="255"/>
      <c r="D102" s="254" t="s">
        <v>551</v>
      </c>
      <c r="E102" s="292" t="s">
        <v>550</v>
      </c>
      <c r="F102" s="291">
        <f>IF(F104&lt;=0.6,Fertilizer_runoff_factor*GS_adjustment_factor,Fertilizer_runoff_factor)</f>
        <v>0.02</v>
      </c>
      <c r="G102" s="291">
        <f t="shared" ref="G102:Y102" si="64">IF(G104&lt;=0.7,Fertilizer_runoff_factor/2,Fertilizer_runoff_factor)</f>
        <v>0.01</v>
      </c>
      <c r="H102" s="291">
        <f t="shared" si="64"/>
        <v>0.01</v>
      </c>
      <c r="I102" s="291">
        <f t="shared" si="64"/>
        <v>0.01</v>
      </c>
      <c r="J102" s="291">
        <f t="shared" si="64"/>
        <v>0.01</v>
      </c>
      <c r="K102" s="291">
        <f t="shared" si="64"/>
        <v>0.01</v>
      </c>
      <c r="L102" s="291">
        <f t="shared" si="64"/>
        <v>0.01</v>
      </c>
      <c r="M102" s="291">
        <f t="shared" si="64"/>
        <v>0.01</v>
      </c>
      <c r="N102" s="291">
        <f t="shared" si="64"/>
        <v>0.01</v>
      </c>
      <c r="O102" s="291">
        <f t="shared" si="64"/>
        <v>0.01</v>
      </c>
      <c r="P102" s="291">
        <f t="shared" si="64"/>
        <v>0.01</v>
      </c>
      <c r="Q102" s="291">
        <f t="shared" si="64"/>
        <v>0.01</v>
      </c>
      <c r="R102" s="291">
        <f t="shared" si="64"/>
        <v>0.01</v>
      </c>
      <c r="S102" s="291">
        <f t="shared" si="64"/>
        <v>0.01</v>
      </c>
      <c r="T102" s="291">
        <f t="shared" si="64"/>
        <v>0.01</v>
      </c>
      <c r="U102" s="291">
        <f t="shared" si="64"/>
        <v>0.01</v>
      </c>
      <c r="V102" s="291">
        <f t="shared" si="64"/>
        <v>0.01</v>
      </c>
      <c r="W102" s="291">
        <f t="shared" si="64"/>
        <v>0.01</v>
      </c>
      <c r="X102" s="291">
        <f t="shared" si="64"/>
        <v>0.01</v>
      </c>
      <c r="Y102" s="291">
        <f t="shared" si="64"/>
        <v>0.01</v>
      </c>
    </row>
    <row r="103" spans="1:25" s="259" customFormat="1" hidden="1">
      <c r="A103" s="222"/>
      <c r="B103" s="251" t="s">
        <v>56</v>
      </c>
      <c r="C103" s="242">
        <v>1</v>
      </c>
      <c r="D103" s="253">
        <v>0.5</v>
      </c>
      <c r="E103" s="287" t="s">
        <v>549</v>
      </c>
      <c r="F103" s="290">
        <f t="shared" ref="F103:Y103" si="65">IF(OR(F24=$B$73,F24=$B$74,F24=$B$75,F24=$B$76),F$79+(1-F$79)/2,F$79)</f>
        <v>1</v>
      </c>
      <c r="G103" s="290">
        <f t="shared" si="65"/>
        <v>1</v>
      </c>
      <c r="H103" s="290">
        <f t="shared" si="65"/>
        <v>1</v>
      </c>
      <c r="I103" s="290">
        <f t="shared" si="65"/>
        <v>1</v>
      </c>
      <c r="J103" s="290">
        <f t="shared" si="65"/>
        <v>1</v>
      </c>
      <c r="K103" s="290">
        <f t="shared" si="65"/>
        <v>1</v>
      </c>
      <c r="L103" s="290">
        <f t="shared" si="65"/>
        <v>1</v>
      </c>
      <c r="M103" s="290">
        <f t="shared" si="65"/>
        <v>1</v>
      </c>
      <c r="N103" s="290">
        <f t="shared" si="65"/>
        <v>1</v>
      </c>
      <c r="O103" s="290">
        <f t="shared" si="65"/>
        <v>1</v>
      </c>
      <c r="P103" s="290">
        <f t="shared" si="65"/>
        <v>1</v>
      </c>
      <c r="Q103" s="290">
        <f t="shared" si="65"/>
        <v>1</v>
      </c>
      <c r="R103" s="290">
        <f t="shared" si="65"/>
        <v>1</v>
      </c>
      <c r="S103" s="290">
        <f t="shared" si="65"/>
        <v>1</v>
      </c>
      <c r="T103" s="290">
        <f t="shared" si="65"/>
        <v>1</v>
      </c>
      <c r="U103" s="290">
        <f t="shared" si="65"/>
        <v>1</v>
      </c>
      <c r="V103" s="290">
        <f t="shared" si="65"/>
        <v>1</v>
      </c>
      <c r="W103" s="290">
        <f t="shared" si="65"/>
        <v>1</v>
      </c>
      <c r="X103" s="290">
        <f t="shared" si="65"/>
        <v>1</v>
      </c>
      <c r="Y103" s="290">
        <f t="shared" si="65"/>
        <v>1</v>
      </c>
    </row>
    <row r="104" spans="1:25" s="259" customFormat="1" hidden="1">
      <c r="A104" s="222"/>
      <c r="B104" s="251" t="s">
        <v>6</v>
      </c>
      <c r="C104" s="242">
        <v>2</v>
      </c>
      <c r="D104" s="253">
        <v>1</v>
      </c>
      <c r="E104" s="287" t="s">
        <v>548</v>
      </c>
      <c r="F104" s="280">
        <f t="shared" ref="F104:Y104" si="66">INDEX($C$72:$C$80, MATCH(F$24,Fertilizer_method_timing,0), )</f>
        <v>0</v>
      </c>
      <c r="G104" s="280">
        <f t="shared" si="66"/>
        <v>0</v>
      </c>
      <c r="H104" s="280">
        <f t="shared" si="66"/>
        <v>0</v>
      </c>
      <c r="I104" s="280">
        <f t="shared" si="66"/>
        <v>0</v>
      </c>
      <c r="J104" s="280">
        <f t="shared" si="66"/>
        <v>0</v>
      </c>
      <c r="K104" s="280">
        <f t="shared" si="66"/>
        <v>0</v>
      </c>
      <c r="L104" s="280">
        <f t="shared" si="66"/>
        <v>0</v>
      </c>
      <c r="M104" s="280">
        <f t="shared" si="66"/>
        <v>0</v>
      </c>
      <c r="N104" s="280">
        <f t="shared" si="66"/>
        <v>0</v>
      </c>
      <c r="O104" s="280">
        <f t="shared" si="66"/>
        <v>0</v>
      </c>
      <c r="P104" s="280">
        <f t="shared" si="66"/>
        <v>0</v>
      </c>
      <c r="Q104" s="280">
        <f t="shared" si="66"/>
        <v>0</v>
      </c>
      <c r="R104" s="280">
        <f t="shared" si="66"/>
        <v>0</v>
      </c>
      <c r="S104" s="280">
        <f t="shared" si="66"/>
        <v>0</v>
      </c>
      <c r="T104" s="280">
        <f t="shared" si="66"/>
        <v>0</v>
      </c>
      <c r="U104" s="280">
        <f t="shared" si="66"/>
        <v>0</v>
      </c>
      <c r="V104" s="280">
        <f t="shared" si="66"/>
        <v>0</v>
      </c>
      <c r="W104" s="280">
        <f t="shared" si="66"/>
        <v>0</v>
      </c>
      <c r="X104" s="280">
        <f t="shared" si="66"/>
        <v>0</v>
      </c>
      <c r="Y104" s="280">
        <f t="shared" si="66"/>
        <v>0</v>
      </c>
    </row>
    <row r="105" spans="1:25" s="259" customFormat="1" hidden="1">
      <c r="A105" s="222"/>
      <c r="B105" s="251" t="s">
        <v>57</v>
      </c>
      <c r="C105" s="242">
        <v>3</v>
      </c>
      <c r="D105" s="253">
        <v>1.6</v>
      </c>
      <c r="E105" s="290" t="s">
        <v>547</v>
      </c>
      <c r="F105" s="286">
        <f t="shared" ref="F105:Y105" si="67">MAX(0,F23-(F$80/2*F23/(IF(F$13+F$18+F$23=0,1,(F$13+F$18+F$23)))))</f>
        <v>0</v>
      </c>
      <c r="G105" s="286">
        <f t="shared" si="67"/>
        <v>0</v>
      </c>
      <c r="H105" s="286">
        <f t="shared" si="67"/>
        <v>0</v>
      </c>
      <c r="I105" s="286">
        <f t="shared" si="67"/>
        <v>0</v>
      </c>
      <c r="J105" s="286">
        <f t="shared" si="67"/>
        <v>0</v>
      </c>
      <c r="K105" s="286">
        <f t="shared" si="67"/>
        <v>0</v>
      </c>
      <c r="L105" s="286">
        <f t="shared" si="67"/>
        <v>0</v>
      </c>
      <c r="M105" s="286">
        <f t="shared" si="67"/>
        <v>0</v>
      </c>
      <c r="N105" s="286">
        <f t="shared" si="67"/>
        <v>0</v>
      </c>
      <c r="O105" s="286">
        <f t="shared" si="67"/>
        <v>0</v>
      </c>
      <c r="P105" s="286">
        <f t="shared" si="67"/>
        <v>0</v>
      </c>
      <c r="Q105" s="286">
        <f t="shared" si="67"/>
        <v>0</v>
      </c>
      <c r="R105" s="286">
        <f t="shared" si="67"/>
        <v>0</v>
      </c>
      <c r="S105" s="286">
        <f t="shared" si="67"/>
        <v>0</v>
      </c>
      <c r="T105" s="286">
        <f t="shared" si="67"/>
        <v>0</v>
      </c>
      <c r="U105" s="286">
        <f t="shared" si="67"/>
        <v>0</v>
      </c>
      <c r="V105" s="286">
        <f t="shared" si="67"/>
        <v>0</v>
      </c>
      <c r="W105" s="286">
        <f t="shared" si="67"/>
        <v>0</v>
      </c>
      <c r="X105" s="286">
        <f t="shared" si="67"/>
        <v>0</v>
      </c>
      <c r="Y105" s="286">
        <f t="shared" si="67"/>
        <v>0</v>
      </c>
    </row>
    <row r="106" spans="1:25" s="259" customFormat="1" hidden="1">
      <c r="A106" s="222"/>
      <c r="B106" s="248" t="s">
        <v>58</v>
      </c>
      <c r="C106" s="289">
        <v>4</v>
      </c>
      <c r="D106" s="288">
        <v>2</v>
      </c>
      <c r="E106" s="287" t="s">
        <v>546</v>
      </c>
      <c r="F106" s="286">
        <f t="shared" ref="F106:Y106" si="68">MAX(0,(F105*0.44-F37)/2*IF(F104&gt;=0.4,7.5,1)*IF(F$12&lt;=10,0.2,MAX(0.03,1.1277*F$12^(-0.7639))))</f>
        <v>0</v>
      </c>
      <c r="G106" s="286">
        <f t="shared" si="68"/>
        <v>0</v>
      </c>
      <c r="H106" s="286">
        <f t="shared" si="68"/>
        <v>0</v>
      </c>
      <c r="I106" s="286">
        <f t="shared" si="68"/>
        <v>0</v>
      </c>
      <c r="J106" s="286">
        <f t="shared" si="68"/>
        <v>0</v>
      </c>
      <c r="K106" s="286">
        <f t="shared" si="68"/>
        <v>0</v>
      </c>
      <c r="L106" s="286">
        <f t="shared" si="68"/>
        <v>0</v>
      </c>
      <c r="M106" s="286">
        <f t="shared" si="68"/>
        <v>0</v>
      </c>
      <c r="N106" s="286">
        <f t="shared" si="68"/>
        <v>0</v>
      </c>
      <c r="O106" s="286">
        <f t="shared" si="68"/>
        <v>0</v>
      </c>
      <c r="P106" s="286">
        <f t="shared" si="68"/>
        <v>0</v>
      </c>
      <c r="Q106" s="286">
        <f t="shared" si="68"/>
        <v>0</v>
      </c>
      <c r="R106" s="286">
        <f t="shared" si="68"/>
        <v>0</v>
      </c>
      <c r="S106" s="286">
        <f t="shared" si="68"/>
        <v>0</v>
      </c>
      <c r="T106" s="286">
        <f t="shared" si="68"/>
        <v>0</v>
      </c>
      <c r="U106" s="286">
        <f t="shared" si="68"/>
        <v>0</v>
      </c>
      <c r="V106" s="286">
        <f t="shared" si="68"/>
        <v>0</v>
      </c>
      <c r="W106" s="286">
        <f t="shared" si="68"/>
        <v>0</v>
      </c>
      <c r="X106" s="286">
        <f t="shared" si="68"/>
        <v>0</v>
      </c>
      <c r="Y106" s="286">
        <f t="shared" si="68"/>
        <v>0</v>
      </c>
    </row>
    <row r="107" spans="1:25" s="259" customFormat="1" hidden="1">
      <c r="A107" s="222"/>
      <c r="B107" s="242"/>
      <c r="C107" s="242"/>
      <c r="D107" s="242"/>
      <c r="E107" s="285" t="s">
        <v>545</v>
      </c>
      <c r="F107" s="284">
        <f t="shared" ref="F107:Y107" si="69">MAX(0,(F105*0.44-F37)/2*IF(F104&gt;=0.4,7.5,1))</f>
        <v>0</v>
      </c>
      <c r="G107" s="284">
        <f t="shared" si="69"/>
        <v>0</v>
      </c>
      <c r="H107" s="284">
        <f t="shared" si="69"/>
        <v>0</v>
      </c>
      <c r="I107" s="284">
        <f t="shared" si="69"/>
        <v>0</v>
      </c>
      <c r="J107" s="284">
        <f t="shared" si="69"/>
        <v>0</v>
      </c>
      <c r="K107" s="284">
        <f t="shared" si="69"/>
        <v>0</v>
      </c>
      <c r="L107" s="284">
        <f t="shared" si="69"/>
        <v>0</v>
      </c>
      <c r="M107" s="284">
        <f t="shared" si="69"/>
        <v>0</v>
      </c>
      <c r="N107" s="284">
        <f t="shared" si="69"/>
        <v>0</v>
      </c>
      <c r="O107" s="284">
        <f t="shared" si="69"/>
        <v>0</v>
      </c>
      <c r="P107" s="284">
        <f t="shared" si="69"/>
        <v>0</v>
      </c>
      <c r="Q107" s="284">
        <f t="shared" si="69"/>
        <v>0</v>
      </c>
      <c r="R107" s="284">
        <f t="shared" si="69"/>
        <v>0</v>
      </c>
      <c r="S107" s="284">
        <f t="shared" si="69"/>
        <v>0</v>
      </c>
      <c r="T107" s="284">
        <f t="shared" si="69"/>
        <v>0</v>
      </c>
      <c r="U107" s="284">
        <f t="shared" si="69"/>
        <v>0</v>
      </c>
      <c r="V107" s="284">
        <f t="shared" si="69"/>
        <v>0</v>
      </c>
      <c r="W107" s="284">
        <f t="shared" si="69"/>
        <v>0</v>
      </c>
      <c r="X107" s="284">
        <f t="shared" si="69"/>
        <v>0</v>
      </c>
      <c r="Y107" s="284">
        <f t="shared" si="69"/>
        <v>0</v>
      </c>
    </row>
    <row r="108" spans="1:25" s="259" customFormat="1" hidden="1">
      <c r="A108" s="222"/>
      <c r="B108" s="242"/>
      <c r="C108" s="242"/>
      <c r="D108" s="242"/>
      <c r="E108" s="271"/>
      <c r="F108" s="283"/>
      <c r="G108" s="283"/>
      <c r="H108" s="283"/>
      <c r="I108" s="283"/>
      <c r="J108" s="283"/>
      <c r="K108" s="283"/>
      <c r="L108" s="283"/>
      <c r="M108" s="283"/>
      <c r="N108" s="283"/>
      <c r="O108" s="283"/>
      <c r="P108" s="283"/>
      <c r="Q108" s="283"/>
      <c r="R108" s="283"/>
      <c r="S108" s="283"/>
      <c r="T108" s="283"/>
      <c r="U108" s="283"/>
      <c r="V108" s="283"/>
      <c r="W108" s="283"/>
      <c r="X108" s="283"/>
      <c r="Y108" s="283"/>
    </row>
    <row r="109" spans="1:25" s="259" customFormat="1" hidden="1">
      <c r="A109" s="222"/>
      <c r="B109" s="242"/>
      <c r="C109" s="242"/>
      <c r="D109" s="242"/>
      <c r="E109" s="271"/>
      <c r="F109" s="283"/>
      <c r="G109" s="283"/>
      <c r="H109" s="283"/>
      <c r="I109" s="283"/>
      <c r="J109" s="283"/>
      <c r="K109" s="283"/>
      <c r="L109" s="283"/>
      <c r="M109" s="283"/>
      <c r="N109" s="283"/>
      <c r="O109" s="283"/>
      <c r="P109" s="283"/>
      <c r="Q109" s="283"/>
      <c r="R109" s="283"/>
      <c r="S109" s="283"/>
      <c r="T109" s="283"/>
      <c r="U109" s="283"/>
      <c r="V109" s="283"/>
      <c r="W109" s="283"/>
      <c r="X109" s="283"/>
      <c r="Y109" s="283"/>
    </row>
    <row r="110" spans="1:25" s="259" customFormat="1" hidden="1">
      <c r="A110" s="222"/>
      <c r="B110" s="242"/>
      <c r="C110" s="242"/>
      <c r="D110" s="242"/>
      <c r="E110" s="270" t="s">
        <v>544</v>
      </c>
      <c r="F110" s="283">
        <f t="shared" ref="F110:Y110" si="70">MIN(TP_maximum,IF(F41="Clay",$C35+$C34*F78,$D35+$D34*F78))</f>
        <v>760</v>
      </c>
      <c r="G110" s="283">
        <f t="shared" si="70"/>
        <v>760</v>
      </c>
      <c r="H110" s="283">
        <f t="shared" si="70"/>
        <v>760</v>
      </c>
      <c r="I110" s="283">
        <f t="shared" si="70"/>
        <v>760</v>
      </c>
      <c r="J110" s="283">
        <f t="shared" si="70"/>
        <v>760</v>
      </c>
      <c r="K110" s="283">
        <f t="shared" si="70"/>
        <v>760</v>
      </c>
      <c r="L110" s="283">
        <f t="shared" si="70"/>
        <v>760</v>
      </c>
      <c r="M110" s="283">
        <f t="shared" si="70"/>
        <v>760</v>
      </c>
      <c r="N110" s="283">
        <f t="shared" si="70"/>
        <v>760</v>
      </c>
      <c r="O110" s="283">
        <f t="shared" si="70"/>
        <v>760</v>
      </c>
      <c r="P110" s="283">
        <f t="shared" si="70"/>
        <v>760</v>
      </c>
      <c r="Q110" s="283">
        <f t="shared" si="70"/>
        <v>760</v>
      </c>
      <c r="R110" s="283">
        <f t="shared" si="70"/>
        <v>760</v>
      </c>
      <c r="S110" s="283">
        <f t="shared" si="70"/>
        <v>760</v>
      </c>
      <c r="T110" s="283">
        <f t="shared" si="70"/>
        <v>760</v>
      </c>
      <c r="U110" s="283">
        <f t="shared" si="70"/>
        <v>760</v>
      </c>
      <c r="V110" s="283">
        <f t="shared" si="70"/>
        <v>760</v>
      </c>
      <c r="W110" s="283">
        <f t="shared" si="70"/>
        <v>760</v>
      </c>
      <c r="X110" s="283">
        <f t="shared" si="70"/>
        <v>760</v>
      </c>
      <c r="Y110" s="283">
        <f t="shared" si="70"/>
        <v>760</v>
      </c>
    </row>
    <row r="111" spans="1:25" s="259" customFormat="1" hidden="1">
      <c r="A111" s="222"/>
      <c r="B111" s="242"/>
      <c r="C111" s="242"/>
      <c r="D111" s="242"/>
      <c r="E111" s="258" t="s">
        <v>543</v>
      </c>
      <c r="F111" s="283">
        <f t="shared" ref="F111:Y111" si="71">IF(F41="Clay",$C35+$C34*F11,$D35+$D34*F11)+F89+F98+F107</f>
        <v>760</v>
      </c>
      <c r="G111" s="283">
        <f t="shared" si="71"/>
        <v>760</v>
      </c>
      <c r="H111" s="283">
        <f t="shared" si="71"/>
        <v>760</v>
      </c>
      <c r="I111" s="283">
        <f t="shared" si="71"/>
        <v>760</v>
      </c>
      <c r="J111" s="283">
        <f t="shared" si="71"/>
        <v>760</v>
      </c>
      <c r="K111" s="283">
        <f t="shared" si="71"/>
        <v>760</v>
      </c>
      <c r="L111" s="283">
        <f t="shared" si="71"/>
        <v>760</v>
      </c>
      <c r="M111" s="283">
        <f t="shared" si="71"/>
        <v>760</v>
      </c>
      <c r="N111" s="283">
        <f t="shared" si="71"/>
        <v>760</v>
      </c>
      <c r="O111" s="283">
        <f t="shared" si="71"/>
        <v>760</v>
      </c>
      <c r="P111" s="283">
        <f t="shared" si="71"/>
        <v>760</v>
      </c>
      <c r="Q111" s="283">
        <f t="shared" si="71"/>
        <v>760</v>
      </c>
      <c r="R111" s="283">
        <f t="shared" si="71"/>
        <v>760</v>
      </c>
      <c r="S111" s="283">
        <f t="shared" si="71"/>
        <v>760</v>
      </c>
      <c r="T111" s="283">
        <f t="shared" si="71"/>
        <v>760</v>
      </c>
      <c r="U111" s="283">
        <f t="shared" si="71"/>
        <v>760</v>
      </c>
      <c r="V111" s="283">
        <f t="shared" si="71"/>
        <v>760</v>
      </c>
      <c r="W111" s="283">
        <f t="shared" si="71"/>
        <v>760</v>
      </c>
      <c r="X111" s="283">
        <f t="shared" si="71"/>
        <v>760</v>
      </c>
      <c r="Y111" s="283">
        <f t="shared" si="71"/>
        <v>760</v>
      </c>
    </row>
    <row r="112" spans="1:25" s="259" customFormat="1" hidden="1">
      <c r="A112" s="222"/>
      <c r="B112" s="222"/>
      <c r="C112" s="222"/>
      <c r="D112" s="242"/>
      <c r="E112" s="271"/>
      <c r="F112" s="282"/>
      <c r="G112" s="282"/>
      <c r="H112" s="282"/>
      <c r="I112" s="282"/>
      <c r="J112" s="282"/>
      <c r="K112" s="282"/>
      <c r="L112" s="282"/>
      <c r="M112" s="282"/>
      <c r="N112" s="282"/>
      <c r="O112" s="282"/>
      <c r="P112" s="282"/>
      <c r="Q112" s="282"/>
      <c r="R112" s="282"/>
      <c r="S112" s="282"/>
      <c r="T112" s="282"/>
      <c r="U112" s="282"/>
      <c r="V112" s="282"/>
      <c r="W112" s="282"/>
      <c r="X112" s="282"/>
      <c r="Y112" s="282"/>
    </row>
    <row r="113" spans="1:25" s="259" customFormat="1" hidden="1">
      <c r="A113" s="222"/>
      <c r="B113" s="222"/>
      <c r="C113" s="222"/>
      <c r="D113" s="242"/>
      <c r="E113" s="222" t="s">
        <v>542</v>
      </c>
      <c r="F113" s="222">
        <f t="shared" ref="F113:Y113" si="72">IF(OR(F24=$B$75),F69+F70,F69)</f>
        <v>0.23217274999999996</v>
      </c>
      <c r="G113" s="222">
        <f t="shared" si="72"/>
        <v>0.23217274999999996</v>
      </c>
      <c r="H113" s="222">
        <f t="shared" si="72"/>
        <v>0.23217274999999996</v>
      </c>
      <c r="I113" s="222">
        <f t="shared" si="72"/>
        <v>0.23217274999999996</v>
      </c>
      <c r="J113" s="222">
        <f t="shared" si="72"/>
        <v>0.23217274999999996</v>
      </c>
      <c r="K113" s="222">
        <f t="shared" si="72"/>
        <v>0.23217274999999996</v>
      </c>
      <c r="L113" s="222">
        <f t="shared" si="72"/>
        <v>0.23217274999999996</v>
      </c>
      <c r="M113" s="222">
        <f t="shared" si="72"/>
        <v>0.23217274999999996</v>
      </c>
      <c r="N113" s="222">
        <f t="shared" si="72"/>
        <v>0.23217274999999996</v>
      </c>
      <c r="O113" s="222">
        <f t="shared" si="72"/>
        <v>0.23217274999999996</v>
      </c>
      <c r="P113" s="222">
        <f t="shared" si="72"/>
        <v>0.23217274999999996</v>
      </c>
      <c r="Q113" s="222">
        <f t="shared" si="72"/>
        <v>0.23217274999999996</v>
      </c>
      <c r="R113" s="222">
        <f t="shared" si="72"/>
        <v>0.23217274999999996</v>
      </c>
      <c r="S113" s="222">
        <f t="shared" si="72"/>
        <v>0.23217274999999996</v>
      </c>
      <c r="T113" s="222">
        <f t="shared" si="72"/>
        <v>0.23217274999999996</v>
      </c>
      <c r="U113" s="222">
        <f t="shared" si="72"/>
        <v>0.23217274999999996</v>
      </c>
      <c r="V113" s="222">
        <f t="shared" si="72"/>
        <v>0.23217274999999996</v>
      </c>
      <c r="W113" s="222">
        <f t="shared" si="72"/>
        <v>0.23217274999999996</v>
      </c>
      <c r="X113" s="222">
        <f t="shared" si="72"/>
        <v>0.23217274999999996</v>
      </c>
      <c r="Y113" s="222">
        <f t="shared" si="72"/>
        <v>0.23217274999999996</v>
      </c>
    </row>
    <row r="114" spans="1:25" s="259" customFormat="1" hidden="1">
      <c r="A114" s="222"/>
      <c r="B114" s="222"/>
      <c r="C114" s="222"/>
      <c r="D114" s="242"/>
      <c r="E114" s="281" t="s">
        <v>541</v>
      </c>
      <c r="F114" s="266">
        <f t="shared" ref="F114:Y114" si="73">INDEX($B$103:$D$106, MATCH(F$40,Soil_hydrologic_group,), 3)</f>
        <v>0.5</v>
      </c>
      <c r="G114" s="266">
        <f t="shared" si="73"/>
        <v>0.5</v>
      </c>
      <c r="H114" s="266">
        <f t="shared" si="73"/>
        <v>0.5</v>
      </c>
      <c r="I114" s="266">
        <f t="shared" si="73"/>
        <v>0.5</v>
      </c>
      <c r="J114" s="266">
        <f t="shared" si="73"/>
        <v>0.5</v>
      </c>
      <c r="K114" s="266">
        <f t="shared" si="73"/>
        <v>0.5</v>
      </c>
      <c r="L114" s="266">
        <f t="shared" si="73"/>
        <v>0.5</v>
      </c>
      <c r="M114" s="266">
        <f t="shared" si="73"/>
        <v>0.5</v>
      </c>
      <c r="N114" s="266">
        <f t="shared" si="73"/>
        <v>0.5</v>
      </c>
      <c r="O114" s="266">
        <f t="shared" si="73"/>
        <v>0.5</v>
      </c>
      <c r="P114" s="266">
        <f t="shared" si="73"/>
        <v>0.5</v>
      </c>
      <c r="Q114" s="266">
        <f t="shared" si="73"/>
        <v>0.5</v>
      </c>
      <c r="R114" s="266">
        <f t="shared" si="73"/>
        <v>0.5</v>
      </c>
      <c r="S114" s="266">
        <f t="shared" si="73"/>
        <v>0.5</v>
      </c>
      <c r="T114" s="266">
        <f t="shared" si="73"/>
        <v>0.5</v>
      </c>
      <c r="U114" s="266">
        <f t="shared" si="73"/>
        <v>0.5</v>
      </c>
      <c r="V114" s="266">
        <f t="shared" si="73"/>
        <v>0.5</v>
      </c>
      <c r="W114" s="266">
        <f t="shared" si="73"/>
        <v>0.5</v>
      </c>
      <c r="X114" s="266">
        <f t="shared" si="73"/>
        <v>0.5</v>
      </c>
      <c r="Y114" s="266">
        <f t="shared" si="73"/>
        <v>0.5</v>
      </c>
    </row>
    <row r="115" spans="1:25" s="259" customFormat="1" hidden="1">
      <c r="A115" s="222"/>
      <c r="B115" s="222"/>
      <c r="C115" s="222"/>
      <c r="D115" s="242"/>
      <c r="E115" s="222" t="s">
        <v>540</v>
      </c>
      <c r="F115" s="280">
        <f t="shared" ref="F115:Y115" si="74">INDEX($C$202:$C$212, MATCH(F22,Organic_P_Availability_coefficients,), )</f>
        <v>1</v>
      </c>
      <c r="G115" s="280">
        <f t="shared" si="74"/>
        <v>1</v>
      </c>
      <c r="H115" s="280">
        <f t="shared" si="74"/>
        <v>1</v>
      </c>
      <c r="I115" s="280">
        <f t="shared" si="74"/>
        <v>1</v>
      </c>
      <c r="J115" s="280">
        <f t="shared" si="74"/>
        <v>1</v>
      </c>
      <c r="K115" s="280">
        <f t="shared" si="74"/>
        <v>1</v>
      </c>
      <c r="L115" s="280">
        <f t="shared" si="74"/>
        <v>1</v>
      </c>
      <c r="M115" s="280">
        <f t="shared" si="74"/>
        <v>1</v>
      </c>
      <c r="N115" s="280">
        <f t="shared" si="74"/>
        <v>1</v>
      </c>
      <c r="O115" s="280">
        <f t="shared" si="74"/>
        <v>1</v>
      </c>
      <c r="P115" s="280">
        <f t="shared" si="74"/>
        <v>1</v>
      </c>
      <c r="Q115" s="280">
        <f t="shared" si="74"/>
        <v>1</v>
      </c>
      <c r="R115" s="280">
        <f t="shared" si="74"/>
        <v>1</v>
      </c>
      <c r="S115" s="280">
        <f t="shared" si="74"/>
        <v>1</v>
      </c>
      <c r="T115" s="280">
        <f t="shared" si="74"/>
        <v>1</v>
      </c>
      <c r="U115" s="280">
        <f t="shared" si="74"/>
        <v>1</v>
      </c>
      <c r="V115" s="280">
        <f t="shared" si="74"/>
        <v>1</v>
      </c>
      <c r="W115" s="280">
        <f t="shared" si="74"/>
        <v>1</v>
      </c>
      <c r="X115" s="280">
        <f t="shared" si="74"/>
        <v>1</v>
      </c>
      <c r="Y115" s="280">
        <f t="shared" si="74"/>
        <v>1</v>
      </c>
    </row>
    <row r="116" spans="1:25" s="259" customFormat="1" hidden="1">
      <c r="A116" s="222"/>
      <c r="B116" s="222"/>
      <c r="C116" s="222"/>
      <c r="D116" s="242"/>
      <c r="E116" s="279" t="s">
        <v>539</v>
      </c>
      <c r="F116" s="278">
        <f t="shared" ref="F116:Y116" si="75">F13*(F81*(1+F85/2)/0.3)*0.44*(F82*F86*F115)</f>
        <v>0</v>
      </c>
      <c r="G116" s="278">
        <f t="shared" si="75"/>
        <v>0</v>
      </c>
      <c r="H116" s="278">
        <f t="shared" si="75"/>
        <v>0</v>
      </c>
      <c r="I116" s="278">
        <f t="shared" si="75"/>
        <v>0</v>
      </c>
      <c r="J116" s="278">
        <f t="shared" si="75"/>
        <v>0</v>
      </c>
      <c r="K116" s="278">
        <f t="shared" si="75"/>
        <v>0</v>
      </c>
      <c r="L116" s="278">
        <f t="shared" si="75"/>
        <v>0</v>
      </c>
      <c r="M116" s="278">
        <f t="shared" si="75"/>
        <v>0</v>
      </c>
      <c r="N116" s="278">
        <f t="shared" si="75"/>
        <v>0</v>
      </c>
      <c r="O116" s="278">
        <f t="shared" si="75"/>
        <v>0</v>
      </c>
      <c r="P116" s="278">
        <f t="shared" si="75"/>
        <v>0</v>
      </c>
      <c r="Q116" s="278">
        <f t="shared" si="75"/>
        <v>0</v>
      </c>
      <c r="R116" s="278">
        <f t="shared" si="75"/>
        <v>0</v>
      </c>
      <c r="S116" s="278">
        <f t="shared" si="75"/>
        <v>0</v>
      </c>
      <c r="T116" s="278">
        <f t="shared" si="75"/>
        <v>0</v>
      </c>
      <c r="U116" s="278">
        <f t="shared" si="75"/>
        <v>0</v>
      </c>
      <c r="V116" s="278">
        <f t="shared" si="75"/>
        <v>0</v>
      </c>
      <c r="W116" s="278">
        <f t="shared" si="75"/>
        <v>0</v>
      </c>
      <c r="X116" s="278">
        <f t="shared" si="75"/>
        <v>0</v>
      </c>
      <c r="Y116" s="278">
        <f t="shared" si="75"/>
        <v>0</v>
      </c>
    </row>
    <row r="117" spans="1:25" s="259" customFormat="1" hidden="1">
      <c r="A117" s="222"/>
      <c r="B117" s="256" t="s">
        <v>538</v>
      </c>
      <c r="C117" s="254"/>
      <c r="D117" s="222"/>
      <c r="E117" s="279" t="s">
        <v>537</v>
      </c>
      <c r="F117" s="278">
        <f t="shared" ref="F117:Y117" si="76">F18*(F90*(1+F94/2)/0.3)*0.44*(F91*F95*F115)</f>
        <v>0</v>
      </c>
      <c r="G117" s="278">
        <f t="shared" si="76"/>
        <v>0</v>
      </c>
      <c r="H117" s="278">
        <f t="shared" si="76"/>
        <v>0</v>
      </c>
      <c r="I117" s="278">
        <f t="shared" si="76"/>
        <v>0</v>
      </c>
      <c r="J117" s="278">
        <f t="shared" si="76"/>
        <v>0</v>
      </c>
      <c r="K117" s="278">
        <f t="shared" si="76"/>
        <v>0</v>
      </c>
      <c r="L117" s="278">
        <f t="shared" si="76"/>
        <v>0</v>
      </c>
      <c r="M117" s="278">
        <f t="shared" si="76"/>
        <v>0</v>
      </c>
      <c r="N117" s="278">
        <f t="shared" si="76"/>
        <v>0</v>
      </c>
      <c r="O117" s="278">
        <f t="shared" si="76"/>
        <v>0</v>
      </c>
      <c r="P117" s="278">
        <f t="shared" si="76"/>
        <v>0</v>
      </c>
      <c r="Q117" s="278">
        <f t="shared" si="76"/>
        <v>0</v>
      </c>
      <c r="R117" s="278">
        <f t="shared" si="76"/>
        <v>0</v>
      </c>
      <c r="S117" s="278">
        <f t="shared" si="76"/>
        <v>0</v>
      </c>
      <c r="T117" s="278">
        <f t="shared" si="76"/>
        <v>0</v>
      </c>
      <c r="U117" s="278">
        <f t="shared" si="76"/>
        <v>0</v>
      </c>
      <c r="V117" s="278">
        <f t="shared" si="76"/>
        <v>0</v>
      </c>
      <c r="W117" s="278">
        <f t="shared" si="76"/>
        <v>0</v>
      </c>
      <c r="X117" s="278">
        <f t="shared" si="76"/>
        <v>0</v>
      </c>
      <c r="Y117" s="278">
        <f t="shared" si="76"/>
        <v>0</v>
      </c>
    </row>
    <row r="118" spans="1:25" s="259" customFormat="1" hidden="1">
      <c r="A118" s="222"/>
      <c r="B118" s="251" t="s">
        <v>536</v>
      </c>
      <c r="C118" s="253">
        <v>1</v>
      </c>
      <c r="D118" s="242"/>
      <c r="E118" s="279" t="s">
        <v>535</v>
      </c>
      <c r="F118" s="278">
        <f t="shared" ref="F118:Y118" si="77">F23*(F102/0.3)*0.44*(F103*F104*1)</f>
        <v>0</v>
      </c>
      <c r="G118" s="278">
        <f t="shared" si="77"/>
        <v>0</v>
      </c>
      <c r="H118" s="278">
        <f t="shared" si="77"/>
        <v>0</v>
      </c>
      <c r="I118" s="278">
        <f t="shared" si="77"/>
        <v>0</v>
      </c>
      <c r="J118" s="278">
        <f t="shared" si="77"/>
        <v>0</v>
      </c>
      <c r="K118" s="278">
        <f t="shared" si="77"/>
        <v>0</v>
      </c>
      <c r="L118" s="278">
        <f t="shared" si="77"/>
        <v>0</v>
      </c>
      <c r="M118" s="278">
        <f t="shared" si="77"/>
        <v>0</v>
      </c>
      <c r="N118" s="278">
        <f t="shared" si="77"/>
        <v>0</v>
      </c>
      <c r="O118" s="278">
        <f t="shared" si="77"/>
        <v>0</v>
      </c>
      <c r="P118" s="278">
        <f t="shared" si="77"/>
        <v>0</v>
      </c>
      <c r="Q118" s="278">
        <f t="shared" si="77"/>
        <v>0</v>
      </c>
      <c r="R118" s="278">
        <f t="shared" si="77"/>
        <v>0</v>
      </c>
      <c r="S118" s="278">
        <f t="shared" si="77"/>
        <v>0</v>
      </c>
      <c r="T118" s="278">
        <f t="shared" si="77"/>
        <v>0</v>
      </c>
      <c r="U118" s="278">
        <f t="shared" si="77"/>
        <v>0</v>
      </c>
      <c r="V118" s="278">
        <f t="shared" si="77"/>
        <v>0</v>
      </c>
      <c r="W118" s="278">
        <f t="shared" si="77"/>
        <v>0</v>
      </c>
      <c r="X118" s="278">
        <f t="shared" si="77"/>
        <v>0</v>
      </c>
      <c r="Y118" s="278">
        <f t="shared" si="77"/>
        <v>0</v>
      </c>
    </row>
    <row r="119" spans="1:25" s="259" customFormat="1" hidden="1">
      <c r="A119" s="222"/>
      <c r="B119" s="277" t="s">
        <v>534</v>
      </c>
      <c r="C119" s="253">
        <v>2</v>
      </c>
      <c r="D119" s="242"/>
      <c r="E119" s="276" t="s">
        <v>533</v>
      </c>
      <c r="F119" s="275">
        <f t="shared" ref="F119:Y119" si="78">($C$40+$C$39*F$11)*$C$41</f>
        <v>0.06</v>
      </c>
      <c r="G119" s="275">
        <f t="shared" si="78"/>
        <v>0.06</v>
      </c>
      <c r="H119" s="275">
        <f t="shared" si="78"/>
        <v>0.06</v>
      </c>
      <c r="I119" s="275">
        <f t="shared" si="78"/>
        <v>0.06</v>
      </c>
      <c r="J119" s="275">
        <f t="shared" si="78"/>
        <v>0.06</v>
      </c>
      <c r="K119" s="275">
        <f t="shared" si="78"/>
        <v>0.06</v>
      </c>
      <c r="L119" s="275">
        <f t="shared" si="78"/>
        <v>0.06</v>
      </c>
      <c r="M119" s="275">
        <f t="shared" si="78"/>
        <v>0.06</v>
      </c>
      <c r="N119" s="275">
        <f t="shared" si="78"/>
        <v>0.06</v>
      </c>
      <c r="O119" s="275">
        <f t="shared" si="78"/>
        <v>0.06</v>
      </c>
      <c r="P119" s="275">
        <f t="shared" si="78"/>
        <v>0.06</v>
      </c>
      <c r="Q119" s="275">
        <f t="shared" si="78"/>
        <v>0.06</v>
      </c>
      <c r="R119" s="275">
        <f t="shared" si="78"/>
        <v>0.06</v>
      </c>
      <c r="S119" s="275">
        <f t="shared" si="78"/>
        <v>0.06</v>
      </c>
      <c r="T119" s="275">
        <f t="shared" si="78"/>
        <v>0.06</v>
      </c>
      <c r="U119" s="275">
        <f t="shared" si="78"/>
        <v>0.06</v>
      </c>
      <c r="V119" s="275">
        <f t="shared" si="78"/>
        <v>0.06</v>
      </c>
      <c r="W119" s="275">
        <f t="shared" si="78"/>
        <v>0.06</v>
      </c>
      <c r="X119" s="275">
        <f t="shared" si="78"/>
        <v>0.06</v>
      </c>
      <c r="Y119" s="275">
        <f t="shared" si="78"/>
        <v>0.06</v>
      </c>
    </row>
    <row r="120" spans="1:25" s="259" customFormat="1" hidden="1">
      <c r="A120" s="222"/>
      <c r="B120" s="251" t="s">
        <v>532</v>
      </c>
      <c r="C120" s="253">
        <v>3</v>
      </c>
      <c r="D120" s="242"/>
      <c r="E120" s="274" t="s">
        <v>531</v>
      </c>
      <c r="F120" s="273">
        <f t="shared" ref="F120:Y120" si="79">($C$40+$C$39*F$78)*$C$41</f>
        <v>0.06</v>
      </c>
      <c r="G120" s="273">
        <f t="shared" si="79"/>
        <v>0.06</v>
      </c>
      <c r="H120" s="273">
        <f t="shared" si="79"/>
        <v>0.06</v>
      </c>
      <c r="I120" s="273">
        <f t="shared" si="79"/>
        <v>0.06</v>
      </c>
      <c r="J120" s="273">
        <f t="shared" si="79"/>
        <v>0.06</v>
      </c>
      <c r="K120" s="273">
        <f t="shared" si="79"/>
        <v>0.06</v>
      </c>
      <c r="L120" s="273">
        <f t="shared" si="79"/>
        <v>0.06</v>
      </c>
      <c r="M120" s="273">
        <f t="shared" si="79"/>
        <v>0.06</v>
      </c>
      <c r="N120" s="273">
        <f t="shared" si="79"/>
        <v>0.06</v>
      </c>
      <c r="O120" s="273">
        <f t="shared" si="79"/>
        <v>0.06</v>
      </c>
      <c r="P120" s="273">
        <f t="shared" si="79"/>
        <v>0.06</v>
      </c>
      <c r="Q120" s="273">
        <f t="shared" si="79"/>
        <v>0.06</v>
      </c>
      <c r="R120" s="273">
        <f t="shared" si="79"/>
        <v>0.06</v>
      </c>
      <c r="S120" s="273">
        <f t="shared" si="79"/>
        <v>0.06</v>
      </c>
      <c r="T120" s="273">
        <f t="shared" si="79"/>
        <v>0.06</v>
      </c>
      <c r="U120" s="273">
        <f t="shared" si="79"/>
        <v>0.06</v>
      </c>
      <c r="V120" s="273">
        <f t="shared" si="79"/>
        <v>0.06</v>
      </c>
      <c r="W120" s="273">
        <f t="shared" si="79"/>
        <v>0.06</v>
      </c>
      <c r="X120" s="273">
        <f t="shared" si="79"/>
        <v>0.06</v>
      </c>
      <c r="Y120" s="273">
        <f t="shared" si="79"/>
        <v>0.06</v>
      </c>
    </row>
    <row r="121" spans="1:25" s="259" customFormat="1" hidden="1">
      <c r="A121" s="222"/>
      <c r="B121" s="256" t="s">
        <v>530</v>
      </c>
      <c r="C121" s="254"/>
      <c r="D121" s="272" t="s">
        <v>529</v>
      </c>
      <c r="E121" s="271"/>
      <c r="F121" s="215"/>
      <c r="G121" s="215"/>
      <c r="H121" s="215"/>
      <c r="I121" s="215"/>
      <c r="J121" s="215"/>
      <c r="K121" s="215"/>
      <c r="L121" s="215"/>
      <c r="M121" s="215"/>
      <c r="N121" s="215"/>
      <c r="O121" s="215"/>
      <c r="P121" s="215"/>
      <c r="Q121" s="215"/>
      <c r="R121" s="215"/>
      <c r="S121" s="215"/>
      <c r="T121" s="215"/>
      <c r="U121" s="215"/>
      <c r="V121" s="215"/>
      <c r="W121" s="215"/>
      <c r="X121" s="215"/>
      <c r="Y121" s="215"/>
    </row>
    <row r="122" spans="1:25" s="259" customFormat="1" hidden="1">
      <c r="A122" s="222"/>
      <c r="B122" s="251" t="s">
        <v>528</v>
      </c>
      <c r="C122" s="253">
        <v>1</v>
      </c>
      <c r="D122" s="266">
        <v>100</v>
      </c>
      <c r="E122" s="269" t="s">
        <v>527</v>
      </c>
      <c r="F122" s="268">
        <f t="shared" ref="F122:Y122" si="80">IF(AND(F13=0,OR(F14&lt;&gt;$B$53,F15&lt;&gt;$B$61,F16&lt;&gt;$B$69)),$E$132,0)</f>
        <v>0</v>
      </c>
      <c r="G122" s="268">
        <f t="shared" si="80"/>
        <v>0</v>
      </c>
      <c r="H122" s="268">
        <f t="shared" si="80"/>
        <v>0</v>
      </c>
      <c r="I122" s="268">
        <f t="shared" si="80"/>
        <v>0</v>
      </c>
      <c r="J122" s="268">
        <f t="shared" si="80"/>
        <v>0</v>
      </c>
      <c r="K122" s="268">
        <f t="shared" si="80"/>
        <v>0</v>
      </c>
      <c r="L122" s="268">
        <f t="shared" si="80"/>
        <v>0</v>
      </c>
      <c r="M122" s="268">
        <f t="shared" si="80"/>
        <v>0</v>
      </c>
      <c r="N122" s="268">
        <f t="shared" si="80"/>
        <v>0</v>
      </c>
      <c r="O122" s="268">
        <f t="shared" si="80"/>
        <v>0</v>
      </c>
      <c r="P122" s="268">
        <f t="shared" si="80"/>
        <v>0</v>
      </c>
      <c r="Q122" s="268">
        <f t="shared" si="80"/>
        <v>0</v>
      </c>
      <c r="R122" s="268">
        <f t="shared" si="80"/>
        <v>0</v>
      </c>
      <c r="S122" s="268">
        <f t="shared" si="80"/>
        <v>0</v>
      </c>
      <c r="T122" s="268">
        <f t="shared" si="80"/>
        <v>0</v>
      </c>
      <c r="U122" s="268">
        <f t="shared" si="80"/>
        <v>0</v>
      </c>
      <c r="V122" s="268">
        <f t="shared" si="80"/>
        <v>0</v>
      </c>
      <c r="W122" s="268">
        <f t="shared" si="80"/>
        <v>0</v>
      </c>
      <c r="X122" s="268">
        <f t="shared" si="80"/>
        <v>0</v>
      </c>
      <c r="Y122" s="268">
        <f t="shared" si="80"/>
        <v>0</v>
      </c>
    </row>
    <row r="123" spans="1:25" s="259" customFormat="1" hidden="1">
      <c r="A123" s="222"/>
      <c r="B123" s="251" t="s">
        <v>526</v>
      </c>
      <c r="C123" s="253">
        <v>2</v>
      </c>
      <c r="D123" s="266">
        <v>50</v>
      </c>
      <c r="E123" s="270"/>
      <c r="F123" s="267">
        <f t="shared" ref="F123:Y123" si="81">IF(AND(F13&lt;&gt;0,OR(F14=$B$53,F15=$B$61,F16=$B$69)),$E$132,IF(AND(OR(F15=$B$60,F16=$B$68),F15&lt;&gt;F16),$E$132,0))</f>
        <v>0</v>
      </c>
      <c r="G123" s="267">
        <f t="shared" si="81"/>
        <v>0</v>
      </c>
      <c r="H123" s="267">
        <f t="shared" si="81"/>
        <v>0</v>
      </c>
      <c r="I123" s="267">
        <f t="shared" si="81"/>
        <v>0</v>
      </c>
      <c r="J123" s="267">
        <f t="shared" si="81"/>
        <v>0</v>
      </c>
      <c r="K123" s="267">
        <f t="shared" si="81"/>
        <v>0</v>
      </c>
      <c r="L123" s="267">
        <f t="shared" si="81"/>
        <v>0</v>
      </c>
      <c r="M123" s="267">
        <f t="shared" si="81"/>
        <v>0</v>
      </c>
      <c r="N123" s="267">
        <f t="shared" si="81"/>
        <v>0</v>
      </c>
      <c r="O123" s="267">
        <f t="shared" si="81"/>
        <v>0</v>
      </c>
      <c r="P123" s="267">
        <f t="shared" si="81"/>
        <v>0</v>
      </c>
      <c r="Q123" s="267">
        <f t="shared" si="81"/>
        <v>0</v>
      </c>
      <c r="R123" s="267">
        <f t="shared" si="81"/>
        <v>0</v>
      </c>
      <c r="S123" s="267">
        <f t="shared" si="81"/>
        <v>0</v>
      </c>
      <c r="T123" s="267">
        <f t="shared" si="81"/>
        <v>0</v>
      </c>
      <c r="U123" s="267">
        <f t="shared" si="81"/>
        <v>0</v>
      </c>
      <c r="V123" s="267">
        <f t="shared" si="81"/>
        <v>0</v>
      </c>
      <c r="W123" s="267">
        <f t="shared" si="81"/>
        <v>0</v>
      </c>
      <c r="X123" s="267">
        <f t="shared" si="81"/>
        <v>0</v>
      </c>
      <c r="Y123" s="267">
        <f t="shared" si="81"/>
        <v>0</v>
      </c>
    </row>
    <row r="124" spans="1:25" s="259" customFormat="1" hidden="1">
      <c r="A124" s="222"/>
      <c r="B124" s="251" t="s">
        <v>525</v>
      </c>
      <c r="C124" s="253">
        <v>3</v>
      </c>
      <c r="D124" s="266">
        <v>50</v>
      </c>
      <c r="E124" s="269" t="s">
        <v>524</v>
      </c>
      <c r="F124" s="268">
        <f t="shared" ref="F124:Y124" si="82">IF(AND(F18=0,OR(F19&lt;&gt;$B$53,F20&lt;&gt;$B$61,F21&lt;&gt;$B$69)),$E$133,0)</f>
        <v>0</v>
      </c>
      <c r="G124" s="268">
        <f t="shared" si="82"/>
        <v>0</v>
      </c>
      <c r="H124" s="268">
        <f t="shared" si="82"/>
        <v>0</v>
      </c>
      <c r="I124" s="268">
        <f t="shared" si="82"/>
        <v>0</v>
      </c>
      <c r="J124" s="268">
        <f t="shared" si="82"/>
        <v>0</v>
      </c>
      <c r="K124" s="268">
        <f t="shared" si="82"/>
        <v>0</v>
      </c>
      <c r="L124" s="268">
        <f t="shared" si="82"/>
        <v>0</v>
      </c>
      <c r="M124" s="268">
        <f t="shared" si="82"/>
        <v>0</v>
      </c>
      <c r="N124" s="268">
        <f t="shared" si="82"/>
        <v>0</v>
      </c>
      <c r="O124" s="268">
        <f t="shared" si="82"/>
        <v>0</v>
      </c>
      <c r="P124" s="268">
        <f t="shared" si="82"/>
        <v>0</v>
      </c>
      <c r="Q124" s="268">
        <f t="shared" si="82"/>
        <v>0</v>
      </c>
      <c r="R124" s="268">
        <f t="shared" si="82"/>
        <v>0</v>
      </c>
      <c r="S124" s="268">
        <f t="shared" si="82"/>
        <v>0</v>
      </c>
      <c r="T124" s="268">
        <f t="shared" si="82"/>
        <v>0</v>
      </c>
      <c r="U124" s="268">
        <f t="shared" si="82"/>
        <v>0</v>
      </c>
      <c r="V124" s="268">
        <f t="shared" si="82"/>
        <v>0</v>
      </c>
      <c r="W124" s="268">
        <f t="shared" si="82"/>
        <v>0</v>
      </c>
      <c r="X124" s="268">
        <f t="shared" si="82"/>
        <v>0</v>
      </c>
      <c r="Y124" s="268">
        <f t="shared" si="82"/>
        <v>0</v>
      </c>
    </row>
    <row r="125" spans="1:25" s="259" customFormat="1" hidden="1">
      <c r="A125" s="222"/>
      <c r="B125" s="252" t="s">
        <v>507</v>
      </c>
      <c r="C125" s="253">
        <v>4</v>
      </c>
      <c r="D125" s="266">
        <v>8.5</v>
      </c>
      <c r="E125" s="258"/>
      <c r="F125" s="267">
        <f t="shared" ref="F125:Y125" si="83">IF(AND(F18&lt;&gt;0,OR(F19=$B$53,F20=$B$61,F21=$B$69)),$E$133,IF(AND(OR(F20=$B$60,F21=$B$68),F20&lt;&gt;F21),$E$133,0))</f>
        <v>0</v>
      </c>
      <c r="G125" s="267">
        <f t="shared" si="83"/>
        <v>0</v>
      </c>
      <c r="H125" s="267">
        <f t="shared" si="83"/>
        <v>0</v>
      </c>
      <c r="I125" s="267">
        <f t="shared" si="83"/>
        <v>0</v>
      </c>
      <c r="J125" s="267">
        <f t="shared" si="83"/>
        <v>0</v>
      </c>
      <c r="K125" s="267">
        <f t="shared" si="83"/>
        <v>0</v>
      </c>
      <c r="L125" s="267">
        <f t="shared" si="83"/>
        <v>0</v>
      </c>
      <c r="M125" s="267">
        <f t="shared" si="83"/>
        <v>0</v>
      </c>
      <c r="N125" s="267">
        <f t="shared" si="83"/>
        <v>0</v>
      </c>
      <c r="O125" s="267">
        <f t="shared" si="83"/>
        <v>0</v>
      </c>
      <c r="P125" s="267">
        <f t="shared" si="83"/>
        <v>0</v>
      </c>
      <c r="Q125" s="267">
        <f t="shared" si="83"/>
        <v>0</v>
      </c>
      <c r="R125" s="267">
        <f t="shared" si="83"/>
        <v>0</v>
      </c>
      <c r="S125" s="267">
        <f t="shared" si="83"/>
        <v>0</v>
      </c>
      <c r="T125" s="267">
        <f t="shared" si="83"/>
        <v>0</v>
      </c>
      <c r="U125" s="267">
        <f t="shared" si="83"/>
        <v>0</v>
      </c>
      <c r="V125" s="267">
        <f t="shared" si="83"/>
        <v>0</v>
      </c>
      <c r="W125" s="267">
        <f t="shared" si="83"/>
        <v>0</v>
      </c>
      <c r="X125" s="267">
        <f t="shared" si="83"/>
        <v>0</v>
      </c>
      <c r="Y125" s="267">
        <f t="shared" si="83"/>
        <v>0</v>
      </c>
    </row>
    <row r="126" spans="1:25" s="259" customFormat="1" hidden="1">
      <c r="A126" s="222"/>
      <c r="B126" s="252" t="s">
        <v>506</v>
      </c>
      <c r="C126" s="253">
        <v>5</v>
      </c>
      <c r="D126" s="266">
        <f>6*2.27</f>
        <v>13.620000000000001</v>
      </c>
      <c r="E126" s="258" t="s">
        <v>523</v>
      </c>
      <c r="F126" s="268">
        <f t="shared" ref="F126:Y126" si="84">IF(AND(F23=0,F24&lt;&gt;$B$72),$E$134,0)</f>
        <v>0</v>
      </c>
      <c r="G126" s="268">
        <f t="shared" si="84"/>
        <v>0</v>
      </c>
      <c r="H126" s="268">
        <f t="shared" si="84"/>
        <v>0</v>
      </c>
      <c r="I126" s="268">
        <f t="shared" si="84"/>
        <v>0</v>
      </c>
      <c r="J126" s="268">
        <f t="shared" si="84"/>
        <v>0</v>
      </c>
      <c r="K126" s="268">
        <f t="shared" si="84"/>
        <v>0</v>
      </c>
      <c r="L126" s="268">
        <f t="shared" si="84"/>
        <v>0</v>
      </c>
      <c r="M126" s="268">
        <f t="shared" si="84"/>
        <v>0</v>
      </c>
      <c r="N126" s="268">
        <f t="shared" si="84"/>
        <v>0</v>
      </c>
      <c r="O126" s="268">
        <f t="shared" si="84"/>
        <v>0</v>
      </c>
      <c r="P126" s="268">
        <f t="shared" si="84"/>
        <v>0</v>
      </c>
      <c r="Q126" s="268">
        <f t="shared" si="84"/>
        <v>0</v>
      </c>
      <c r="R126" s="268">
        <f t="shared" si="84"/>
        <v>0</v>
      </c>
      <c r="S126" s="268">
        <f t="shared" si="84"/>
        <v>0</v>
      </c>
      <c r="T126" s="268">
        <f t="shared" si="84"/>
        <v>0</v>
      </c>
      <c r="U126" s="268">
        <f t="shared" si="84"/>
        <v>0</v>
      </c>
      <c r="V126" s="268">
        <f t="shared" si="84"/>
        <v>0</v>
      </c>
      <c r="W126" s="268">
        <f t="shared" si="84"/>
        <v>0</v>
      </c>
      <c r="X126" s="268">
        <f t="shared" si="84"/>
        <v>0</v>
      </c>
      <c r="Y126" s="268">
        <f t="shared" si="84"/>
        <v>0</v>
      </c>
    </row>
    <row r="127" spans="1:25" s="259" customFormat="1" hidden="1">
      <c r="A127" s="222"/>
      <c r="B127" s="252" t="s">
        <v>505</v>
      </c>
      <c r="C127" s="253">
        <v>6</v>
      </c>
      <c r="D127" s="266">
        <f>10*2.27</f>
        <v>22.7</v>
      </c>
      <c r="E127" s="215"/>
      <c r="F127" s="267">
        <f t="shared" ref="F127:Y127" si="85">IF(AND(F23&lt;&gt;0,F24=$B$72),$E$134,0)</f>
        <v>0</v>
      </c>
      <c r="G127" s="267">
        <f t="shared" si="85"/>
        <v>0</v>
      </c>
      <c r="H127" s="267">
        <f t="shared" si="85"/>
        <v>0</v>
      </c>
      <c r="I127" s="267">
        <f t="shared" si="85"/>
        <v>0</v>
      </c>
      <c r="J127" s="267">
        <f t="shared" si="85"/>
        <v>0</v>
      </c>
      <c r="K127" s="267">
        <f t="shared" si="85"/>
        <v>0</v>
      </c>
      <c r="L127" s="267">
        <f t="shared" si="85"/>
        <v>0</v>
      </c>
      <c r="M127" s="267">
        <f t="shared" si="85"/>
        <v>0</v>
      </c>
      <c r="N127" s="267">
        <f t="shared" si="85"/>
        <v>0</v>
      </c>
      <c r="O127" s="267">
        <f t="shared" si="85"/>
        <v>0</v>
      </c>
      <c r="P127" s="267">
        <f t="shared" si="85"/>
        <v>0</v>
      </c>
      <c r="Q127" s="267">
        <f t="shared" si="85"/>
        <v>0</v>
      </c>
      <c r="R127" s="267">
        <f t="shared" si="85"/>
        <v>0</v>
      </c>
      <c r="S127" s="267">
        <f t="shared" si="85"/>
        <v>0</v>
      </c>
      <c r="T127" s="267">
        <f t="shared" si="85"/>
        <v>0</v>
      </c>
      <c r="U127" s="267">
        <f t="shared" si="85"/>
        <v>0</v>
      </c>
      <c r="V127" s="267">
        <f t="shared" si="85"/>
        <v>0</v>
      </c>
      <c r="W127" s="267">
        <f t="shared" si="85"/>
        <v>0</v>
      </c>
      <c r="X127" s="267">
        <f t="shared" si="85"/>
        <v>0</v>
      </c>
      <c r="Y127" s="267">
        <f t="shared" si="85"/>
        <v>0</v>
      </c>
    </row>
    <row r="128" spans="1:25" s="259" customFormat="1" hidden="1">
      <c r="A128" s="222"/>
      <c r="B128" s="252" t="s">
        <v>504</v>
      </c>
      <c r="C128" s="253">
        <v>7</v>
      </c>
      <c r="D128" s="266">
        <f>20*2.27</f>
        <v>45.4</v>
      </c>
      <c r="E128" s="258" t="s">
        <v>522</v>
      </c>
      <c r="F128" s="263">
        <f t="shared" ref="F128:Y128" si="86">IF(AND(OR(F75=3,F75=4,F75&gt;7),F74&lt;3),$E$135,0)</f>
        <v>0</v>
      </c>
      <c r="G128" s="263">
        <f t="shared" si="86"/>
        <v>0</v>
      </c>
      <c r="H128" s="263">
        <f t="shared" si="86"/>
        <v>0</v>
      </c>
      <c r="I128" s="263">
        <f t="shared" si="86"/>
        <v>0</v>
      </c>
      <c r="J128" s="263">
        <f t="shared" si="86"/>
        <v>0</v>
      </c>
      <c r="K128" s="263">
        <f t="shared" si="86"/>
        <v>0</v>
      </c>
      <c r="L128" s="263">
        <f t="shared" si="86"/>
        <v>0</v>
      </c>
      <c r="M128" s="263">
        <f t="shared" si="86"/>
        <v>0</v>
      </c>
      <c r="N128" s="263">
        <f t="shared" si="86"/>
        <v>0</v>
      </c>
      <c r="O128" s="263">
        <f t="shared" si="86"/>
        <v>0</v>
      </c>
      <c r="P128" s="263">
        <f t="shared" si="86"/>
        <v>0</v>
      </c>
      <c r="Q128" s="263">
        <f t="shared" si="86"/>
        <v>0</v>
      </c>
      <c r="R128" s="263">
        <f t="shared" si="86"/>
        <v>0</v>
      </c>
      <c r="S128" s="263">
        <f t="shared" si="86"/>
        <v>0</v>
      </c>
      <c r="T128" s="263">
        <f t="shared" si="86"/>
        <v>0</v>
      </c>
      <c r="U128" s="263">
        <f t="shared" si="86"/>
        <v>0</v>
      </c>
      <c r="V128" s="263">
        <f t="shared" si="86"/>
        <v>0</v>
      </c>
      <c r="W128" s="263">
        <f t="shared" si="86"/>
        <v>0</v>
      </c>
      <c r="X128" s="263">
        <f t="shared" si="86"/>
        <v>0</v>
      </c>
      <c r="Y128" s="263">
        <f t="shared" si="86"/>
        <v>0</v>
      </c>
    </row>
    <row r="129" spans="1:25" s="259" customFormat="1" hidden="1">
      <c r="A129" s="222"/>
      <c r="B129" s="251" t="s">
        <v>521</v>
      </c>
      <c r="C129" s="253">
        <v>8</v>
      </c>
      <c r="D129" s="266">
        <v>0</v>
      </c>
      <c r="E129" s="258" t="s">
        <v>520</v>
      </c>
      <c r="F129" s="263">
        <f t="shared" ref="F129:Y129" si="87">IF(F30&gt;F29,$E$136,0)</f>
        <v>0</v>
      </c>
      <c r="G129" s="263">
        <f t="shared" si="87"/>
        <v>0</v>
      </c>
      <c r="H129" s="263">
        <f t="shared" si="87"/>
        <v>0</v>
      </c>
      <c r="I129" s="263">
        <f t="shared" si="87"/>
        <v>0</v>
      </c>
      <c r="J129" s="263">
        <f t="shared" si="87"/>
        <v>0</v>
      </c>
      <c r="K129" s="263">
        <f t="shared" si="87"/>
        <v>0</v>
      </c>
      <c r="L129" s="263">
        <f t="shared" si="87"/>
        <v>0</v>
      </c>
      <c r="M129" s="263">
        <f t="shared" si="87"/>
        <v>0</v>
      </c>
      <c r="N129" s="263">
        <f t="shared" si="87"/>
        <v>0</v>
      </c>
      <c r="O129" s="263">
        <f t="shared" si="87"/>
        <v>0</v>
      </c>
      <c r="P129" s="263">
        <f t="shared" si="87"/>
        <v>0</v>
      </c>
      <c r="Q129" s="263">
        <f t="shared" si="87"/>
        <v>0</v>
      </c>
      <c r="R129" s="263">
        <f t="shared" si="87"/>
        <v>0</v>
      </c>
      <c r="S129" s="263">
        <f t="shared" si="87"/>
        <v>0</v>
      </c>
      <c r="T129" s="263">
        <f t="shared" si="87"/>
        <v>0</v>
      </c>
      <c r="U129" s="263">
        <f t="shared" si="87"/>
        <v>0</v>
      </c>
      <c r="V129" s="263">
        <f t="shared" si="87"/>
        <v>0</v>
      </c>
      <c r="W129" s="263">
        <f t="shared" si="87"/>
        <v>0</v>
      </c>
      <c r="X129" s="263">
        <f t="shared" si="87"/>
        <v>0</v>
      </c>
      <c r="Y129" s="263">
        <f t="shared" si="87"/>
        <v>0</v>
      </c>
    </row>
    <row r="130" spans="1:25" s="259" customFormat="1" hidden="1">
      <c r="A130" s="222"/>
      <c r="B130" s="251" t="s">
        <v>519</v>
      </c>
      <c r="C130" s="253">
        <v>9</v>
      </c>
      <c r="D130" s="266">
        <v>0</v>
      </c>
      <c r="E130" s="215"/>
      <c r="F130" s="263"/>
      <c r="G130" s="263"/>
      <c r="H130" s="263"/>
      <c r="I130" s="263"/>
      <c r="J130" s="263"/>
      <c r="K130" s="263"/>
      <c r="L130" s="263"/>
      <c r="M130" s="263"/>
      <c r="N130" s="263"/>
      <c r="O130" s="263"/>
      <c r="P130" s="263"/>
      <c r="Q130" s="263"/>
      <c r="R130" s="263"/>
      <c r="S130" s="263"/>
      <c r="T130" s="263"/>
      <c r="U130" s="263"/>
      <c r="V130" s="263"/>
      <c r="W130" s="263"/>
      <c r="X130" s="263"/>
      <c r="Y130" s="263"/>
    </row>
    <row r="131" spans="1:25" s="259" customFormat="1" hidden="1">
      <c r="A131" s="222"/>
      <c r="B131" s="248" t="s">
        <v>518</v>
      </c>
      <c r="C131" s="265">
        <v>10</v>
      </c>
      <c r="D131" s="264">
        <v>0</v>
      </c>
      <c r="E131" s="227" t="s">
        <v>517</v>
      </c>
      <c r="F131" s="215"/>
      <c r="G131" s="215"/>
      <c r="H131" s="215"/>
      <c r="I131" s="215"/>
      <c r="J131" s="215"/>
      <c r="K131" s="215"/>
      <c r="L131" s="215"/>
      <c r="M131" s="215"/>
      <c r="N131" s="215"/>
      <c r="O131" s="215"/>
      <c r="P131" s="215"/>
      <c r="Q131" s="215"/>
      <c r="R131" s="215"/>
      <c r="S131" s="215"/>
      <c r="T131" s="215"/>
      <c r="U131" s="215"/>
      <c r="V131" s="215"/>
      <c r="W131" s="215"/>
      <c r="X131" s="215"/>
      <c r="Y131" s="215"/>
    </row>
    <row r="132" spans="1:25" s="259" customFormat="1" hidden="1">
      <c r="A132" s="222"/>
      <c r="B132" s="242"/>
      <c r="C132" s="242"/>
      <c r="D132" s="242"/>
      <c r="E132" s="263" t="s">
        <v>516</v>
      </c>
      <c r="F132" s="215"/>
      <c r="G132" s="215"/>
      <c r="H132" s="215"/>
      <c r="I132" s="215"/>
      <c r="J132" s="215"/>
      <c r="K132" s="215"/>
      <c r="L132" s="215"/>
      <c r="M132" s="215"/>
      <c r="N132" s="215"/>
      <c r="O132" s="215"/>
      <c r="P132" s="215"/>
      <c r="Q132" s="215"/>
      <c r="R132" s="215"/>
      <c r="S132" s="215"/>
      <c r="T132" s="215"/>
      <c r="U132" s="215"/>
      <c r="V132" s="215"/>
      <c r="W132" s="215"/>
      <c r="X132" s="215"/>
      <c r="Y132" s="215"/>
    </row>
    <row r="133" spans="1:25" s="259" customFormat="1" hidden="1">
      <c r="A133" s="222"/>
      <c r="B133" s="242"/>
      <c r="C133" s="242"/>
      <c r="D133" s="235"/>
      <c r="E133" s="263" t="s">
        <v>515</v>
      </c>
      <c r="F133" s="215"/>
      <c r="G133" s="215"/>
      <c r="H133" s="215"/>
      <c r="I133" s="215"/>
      <c r="J133" s="215"/>
      <c r="K133" s="215"/>
      <c r="L133" s="215"/>
      <c r="M133" s="215"/>
      <c r="N133" s="215"/>
      <c r="O133" s="215"/>
      <c r="P133" s="215"/>
      <c r="Q133" s="215"/>
      <c r="R133" s="215"/>
      <c r="S133" s="215"/>
      <c r="T133" s="215"/>
      <c r="U133" s="215"/>
      <c r="V133" s="215"/>
      <c r="W133" s="215"/>
      <c r="X133" s="215"/>
      <c r="Y133" s="215"/>
    </row>
    <row r="134" spans="1:25" s="259" customFormat="1" hidden="1">
      <c r="A134" s="222"/>
      <c r="B134" s="242"/>
      <c r="C134" s="242"/>
      <c r="D134" s="235"/>
      <c r="E134" s="263" t="s">
        <v>514</v>
      </c>
      <c r="F134" s="215"/>
      <c r="G134" s="215"/>
      <c r="H134" s="215"/>
      <c r="I134" s="215"/>
      <c r="J134" s="215"/>
      <c r="K134" s="215"/>
      <c r="L134" s="215"/>
      <c r="M134" s="215"/>
      <c r="N134" s="215"/>
      <c r="O134" s="215"/>
      <c r="P134" s="215"/>
      <c r="Q134" s="215"/>
      <c r="R134" s="215"/>
      <c r="S134" s="215"/>
      <c r="T134" s="215"/>
      <c r="U134" s="215"/>
      <c r="V134" s="215"/>
      <c r="W134" s="215"/>
      <c r="X134" s="215"/>
      <c r="Y134" s="215"/>
    </row>
    <row r="135" spans="1:25" s="259" customFormat="1" hidden="1">
      <c r="A135" s="222"/>
      <c r="B135" s="242"/>
      <c r="C135" s="242"/>
      <c r="D135" s="235"/>
      <c r="E135" s="263" t="s">
        <v>513</v>
      </c>
      <c r="F135" s="215"/>
      <c r="G135" s="215"/>
      <c r="H135" s="215"/>
      <c r="I135" s="215"/>
      <c r="J135" s="215"/>
      <c r="K135" s="215"/>
      <c r="L135" s="215"/>
      <c r="M135" s="215"/>
      <c r="N135" s="215"/>
      <c r="O135" s="215"/>
      <c r="P135" s="215"/>
      <c r="Q135" s="215"/>
      <c r="R135" s="215"/>
      <c r="S135" s="215"/>
      <c r="T135" s="215"/>
      <c r="U135" s="215"/>
      <c r="V135" s="215"/>
      <c r="W135" s="215"/>
      <c r="X135" s="215"/>
      <c r="Y135" s="215"/>
    </row>
    <row r="136" spans="1:25" s="259" customFormat="1" hidden="1">
      <c r="A136" s="222"/>
      <c r="B136" s="242"/>
      <c r="C136" s="242"/>
      <c r="D136" s="235"/>
      <c r="E136" s="263" t="s">
        <v>512</v>
      </c>
      <c r="F136" s="215"/>
      <c r="G136" s="215"/>
      <c r="H136" s="215"/>
      <c r="I136" s="215"/>
      <c r="J136" s="215"/>
      <c r="K136" s="215"/>
      <c r="L136" s="215"/>
      <c r="M136" s="215"/>
      <c r="N136" s="215"/>
      <c r="O136" s="215"/>
      <c r="P136" s="215"/>
      <c r="Q136" s="215"/>
      <c r="R136" s="215"/>
      <c r="S136" s="215"/>
      <c r="T136" s="215"/>
      <c r="U136" s="215"/>
      <c r="V136" s="215"/>
      <c r="W136" s="215"/>
      <c r="X136" s="215"/>
      <c r="Y136" s="215"/>
    </row>
    <row r="137" spans="1:25" s="259" customFormat="1" hidden="1">
      <c r="A137" s="222"/>
      <c r="B137" s="242"/>
      <c r="C137" s="242"/>
      <c r="D137" s="235"/>
      <c r="E137" s="263"/>
      <c r="F137" s="215"/>
      <c r="G137" s="215"/>
      <c r="H137" s="215"/>
      <c r="I137" s="215"/>
      <c r="J137" s="215"/>
      <c r="K137" s="215"/>
      <c r="L137" s="215"/>
      <c r="M137" s="215"/>
      <c r="N137" s="215"/>
      <c r="O137" s="215"/>
      <c r="P137" s="215"/>
      <c r="Q137" s="215"/>
      <c r="R137" s="215"/>
      <c r="S137" s="215"/>
      <c r="T137" s="215"/>
      <c r="U137" s="215"/>
      <c r="V137" s="215"/>
      <c r="W137" s="215"/>
      <c r="X137" s="215"/>
      <c r="Y137" s="215"/>
    </row>
    <row r="138" spans="1:25" s="259" customFormat="1" hidden="1">
      <c r="A138" s="222"/>
      <c r="B138" s="242"/>
      <c r="C138" s="242"/>
      <c r="D138" s="235"/>
      <c r="E138" s="263"/>
      <c r="F138" s="215"/>
      <c r="G138" s="215"/>
      <c r="H138" s="215"/>
      <c r="I138" s="215"/>
      <c r="J138" s="215"/>
      <c r="K138" s="215"/>
      <c r="L138" s="215"/>
      <c r="M138" s="215"/>
      <c r="N138" s="215"/>
      <c r="O138" s="215"/>
      <c r="P138" s="215"/>
      <c r="Q138" s="215"/>
      <c r="R138" s="215"/>
      <c r="S138" s="215"/>
      <c r="T138" s="215"/>
      <c r="U138" s="215"/>
      <c r="V138" s="215"/>
      <c r="W138" s="215"/>
      <c r="X138" s="215"/>
      <c r="Y138" s="215"/>
    </row>
    <row r="139" spans="1:25" s="259" customFormat="1" hidden="1">
      <c r="A139" s="222"/>
      <c r="B139" s="242"/>
      <c r="C139" s="242"/>
      <c r="D139" s="235"/>
      <c r="E139" s="263"/>
      <c r="F139" s="215"/>
      <c r="G139" s="215"/>
      <c r="H139" s="215"/>
      <c r="I139" s="215"/>
      <c r="J139" s="215"/>
      <c r="K139" s="215"/>
      <c r="L139" s="215"/>
      <c r="M139" s="215"/>
      <c r="N139" s="215"/>
      <c r="O139" s="215"/>
      <c r="P139" s="215"/>
      <c r="Q139" s="215"/>
      <c r="R139" s="215"/>
      <c r="S139" s="215"/>
      <c r="T139" s="215"/>
      <c r="U139" s="215"/>
      <c r="V139" s="215"/>
      <c r="W139" s="215"/>
      <c r="X139" s="215"/>
      <c r="Y139" s="215"/>
    </row>
    <row r="140" spans="1:25" s="259" customFormat="1" hidden="1">
      <c r="A140" s="222"/>
      <c r="B140" s="242"/>
      <c r="C140" s="242"/>
      <c r="D140" s="235"/>
      <c r="E140" s="263"/>
      <c r="F140" s="215"/>
      <c r="G140" s="215"/>
      <c r="H140" s="215"/>
      <c r="I140" s="215"/>
      <c r="J140" s="215"/>
      <c r="K140" s="215"/>
      <c r="L140" s="215"/>
      <c r="M140" s="215"/>
      <c r="N140" s="215"/>
      <c r="O140" s="215"/>
      <c r="P140" s="215"/>
      <c r="Q140" s="215"/>
      <c r="R140" s="215"/>
      <c r="S140" s="215"/>
      <c r="T140" s="215"/>
      <c r="U140" s="215"/>
      <c r="V140" s="215"/>
      <c r="W140" s="215"/>
      <c r="X140" s="215"/>
      <c r="Y140" s="215"/>
    </row>
    <row r="141" spans="1:25" s="259" customFormat="1" hidden="1">
      <c r="A141" s="222"/>
      <c r="B141" s="242"/>
      <c r="C141" s="242"/>
      <c r="D141" s="235"/>
      <c r="E141" s="215"/>
      <c r="F141" s="215"/>
      <c r="G141" s="215"/>
      <c r="H141" s="215"/>
      <c r="I141" s="215"/>
      <c r="J141" s="215"/>
      <c r="K141" s="215"/>
      <c r="L141" s="215"/>
      <c r="M141" s="215"/>
      <c r="N141" s="215"/>
      <c r="O141" s="215"/>
      <c r="P141" s="215"/>
      <c r="Q141" s="215"/>
      <c r="R141" s="215"/>
      <c r="S141" s="215"/>
      <c r="T141" s="215"/>
      <c r="U141" s="215"/>
      <c r="V141" s="215"/>
      <c r="W141" s="215"/>
      <c r="X141" s="215"/>
      <c r="Y141" s="215"/>
    </row>
    <row r="142" spans="1:25" s="259" customFormat="1" ht="26.25" thickBot="1">
      <c r="A142" s="260"/>
      <c r="B142" s="262"/>
      <c r="C142" s="262"/>
      <c r="D142" s="261"/>
      <c r="E142" s="541" t="s">
        <v>848</v>
      </c>
      <c r="F142" s="541" t="s">
        <v>848</v>
      </c>
      <c r="G142" s="541" t="s">
        <v>848</v>
      </c>
      <c r="H142" s="541" t="s">
        <v>848</v>
      </c>
      <c r="I142" s="541" t="s">
        <v>848</v>
      </c>
      <c r="J142" s="541" t="s">
        <v>848</v>
      </c>
      <c r="K142" s="541" t="s">
        <v>848</v>
      </c>
      <c r="L142" s="541" t="s">
        <v>848</v>
      </c>
      <c r="M142" s="541" t="s">
        <v>848</v>
      </c>
      <c r="N142" s="541" t="s">
        <v>848</v>
      </c>
      <c r="O142" s="541" t="s">
        <v>848</v>
      </c>
      <c r="P142" s="541" t="s">
        <v>848</v>
      </c>
      <c r="Q142" s="541" t="s">
        <v>848</v>
      </c>
      <c r="R142" s="541" t="s">
        <v>848</v>
      </c>
      <c r="S142" s="541" t="s">
        <v>848</v>
      </c>
      <c r="T142" s="541" t="s">
        <v>848</v>
      </c>
      <c r="U142" s="541" t="s">
        <v>848</v>
      </c>
      <c r="V142" s="541" t="s">
        <v>848</v>
      </c>
      <c r="W142" s="541" t="s">
        <v>848</v>
      </c>
      <c r="X142" s="541" t="s">
        <v>848</v>
      </c>
      <c r="Y142" s="541" t="s">
        <v>848</v>
      </c>
    </row>
    <row r="143" spans="1:25" ht="13.5" hidden="1" thickTop="1">
      <c r="A143" s="222"/>
      <c r="B143" s="242"/>
      <c r="C143" s="242"/>
      <c r="D143" s="242"/>
      <c r="E143" s="258"/>
      <c r="F143" s="257"/>
    </row>
    <row r="144" spans="1:25" hidden="1">
      <c r="A144" s="222"/>
      <c r="B144" s="222"/>
      <c r="C144" s="222"/>
      <c r="D144" s="222"/>
    </row>
    <row r="145" spans="1:7" hidden="1">
      <c r="A145" s="222"/>
      <c r="B145" s="256" t="s">
        <v>511</v>
      </c>
      <c r="C145" s="255" t="str">
        <f>$B$118</f>
        <v>&lt; 5 %</v>
      </c>
      <c r="D145" s="255" t="str">
        <f>$B$119</f>
        <v>0 - 20  %</v>
      </c>
      <c r="E145" s="254" t="str">
        <f>$B$120</f>
        <v>&gt; 20 %</v>
      </c>
    </row>
    <row r="146" spans="1:7" hidden="1">
      <c r="A146" s="222"/>
      <c r="B146" s="251" t="str">
        <f>$B$122</f>
        <v>Corn &amp; other row crops</v>
      </c>
      <c r="C146" s="250">
        <v>0.56000000000000005</v>
      </c>
      <c r="D146" s="250">
        <v>0.42</v>
      </c>
      <c r="E146" s="249">
        <v>0.25</v>
      </c>
      <c r="F146" s="222"/>
    </row>
    <row r="147" spans="1:7" hidden="1">
      <c r="A147" s="222"/>
      <c r="B147" s="251" t="str">
        <f>$B$123</f>
        <v>Small grains</v>
      </c>
      <c r="C147" s="250">
        <v>0.27</v>
      </c>
      <c r="D147" s="250">
        <v>0.22</v>
      </c>
      <c r="E147" s="249">
        <v>0.15</v>
      </c>
      <c r="F147" s="222"/>
    </row>
    <row r="148" spans="1:7" hidden="1">
      <c r="A148" s="222"/>
      <c r="B148" s="251" t="str">
        <f>$B$124</f>
        <v>Alfalfa &amp; other forages</v>
      </c>
      <c r="C148" s="242" t="e">
        <f>NA()</f>
        <v>#N/A</v>
      </c>
      <c r="D148" s="242" t="e">
        <f>NA()</f>
        <v>#N/A</v>
      </c>
      <c r="E148" s="249">
        <v>0.12</v>
      </c>
      <c r="F148" s="222"/>
    </row>
    <row r="149" spans="1:7" hidden="1">
      <c r="A149" s="222"/>
      <c r="B149" s="252" t="s">
        <v>507</v>
      </c>
      <c r="C149" s="242" t="e">
        <f>NA()</f>
        <v>#N/A</v>
      </c>
      <c r="D149" s="242" t="e">
        <f>NA()</f>
        <v>#N/A</v>
      </c>
      <c r="E149" s="249">
        <v>0.01</v>
      </c>
      <c r="F149" s="222"/>
    </row>
    <row r="150" spans="1:7" hidden="1">
      <c r="A150" s="222"/>
      <c r="B150" s="252" t="s">
        <v>506</v>
      </c>
      <c r="C150" s="250">
        <v>0.56000000000000005</v>
      </c>
      <c r="D150" s="250">
        <v>0.42</v>
      </c>
      <c r="E150" s="249">
        <v>0.25</v>
      </c>
      <c r="F150" s="222"/>
    </row>
    <row r="151" spans="1:7" hidden="1">
      <c r="A151" s="222"/>
      <c r="B151" s="252" t="s">
        <v>505</v>
      </c>
      <c r="C151" s="250">
        <v>0.56000000000000005</v>
      </c>
      <c r="D151" s="250">
        <v>0.42</v>
      </c>
      <c r="E151" s="249">
        <v>0.25</v>
      </c>
      <c r="F151" s="222"/>
    </row>
    <row r="152" spans="1:7" hidden="1">
      <c r="A152" s="222"/>
      <c r="B152" s="252" t="s">
        <v>504</v>
      </c>
      <c r="C152" s="250">
        <v>0.56000000000000005</v>
      </c>
      <c r="D152" s="250">
        <v>0.42</v>
      </c>
      <c r="E152" s="249">
        <v>0.25</v>
      </c>
      <c r="F152" s="222"/>
    </row>
    <row r="153" spans="1:7" hidden="1">
      <c r="A153" s="222"/>
      <c r="B153" s="251" t="str">
        <f>$B$129</f>
        <v>Pasture (50-75% cover, not heavily grazed)</v>
      </c>
      <c r="C153" s="242" t="e">
        <f>NA()</f>
        <v>#N/A</v>
      </c>
      <c r="D153" s="242" t="e">
        <f>NA()</f>
        <v>#N/A</v>
      </c>
      <c r="E153" s="249">
        <v>0.02</v>
      </c>
      <c r="F153" s="222"/>
    </row>
    <row r="154" spans="1:7" hidden="1">
      <c r="A154" s="222"/>
      <c r="B154" s="251" t="str">
        <f>$B$130</f>
        <v>CRP, other ungrazed, perm. veg.</v>
      </c>
      <c r="C154" s="242" t="e">
        <f>NA()</f>
        <v>#N/A</v>
      </c>
      <c r="D154" s="242" t="e">
        <f>NA()</f>
        <v>#N/A</v>
      </c>
      <c r="E154" s="249">
        <v>0.01</v>
      </c>
      <c r="F154" s="222"/>
    </row>
    <row r="155" spans="1:7" hidden="1">
      <c r="A155" s="222"/>
      <c r="B155" s="251" t="str">
        <f>$B$131</f>
        <v>Woodland (50-75% cover, not heavily grazed)</v>
      </c>
      <c r="C155" s="242" t="e">
        <f>NA()</f>
        <v>#N/A</v>
      </c>
      <c r="D155" s="242" t="e">
        <f>NA()</f>
        <v>#N/A</v>
      </c>
      <c r="E155" s="249">
        <v>0.01</v>
      </c>
      <c r="F155" s="222"/>
      <c r="G155" s="251"/>
    </row>
    <row r="156" spans="1:7" hidden="1">
      <c r="A156" s="222"/>
      <c r="B156" s="251"/>
      <c r="C156" s="242"/>
      <c r="D156" s="242"/>
      <c r="E156" s="253"/>
      <c r="F156" s="222"/>
      <c r="G156" s="251"/>
    </row>
    <row r="157" spans="1:7" hidden="1">
      <c r="A157" s="222"/>
      <c r="B157" s="251" t="s">
        <v>510</v>
      </c>
      <c r="C157" s="242" t="str">
        <f>$B$118</f>
        <v>&lt; 5 %</v>
      </c>
      <c r="D157" s="242" t="str">
        <f>$B$119</f>
        <v>0 - 20  %</v>
      </c>
      <c r="E157" s="253" t="str">
        <f>$B$120</f>
        <v>&gt; 20 %</v>
      </c>
      <c r="F157" s="222"/>
    </row>
    <row r="158" spans="1:7" hidden="1">
      <c r="A158" s="222"/>
      <c r="B158" s="251" t="str">
        <f>$B$122</f>
        <v>Corn &amp; other row crops</v>
      </c>
      <c r="C158" s="250">
        <v>1.35</v>
      </c>
      <c r="D158" s="250">
        <v>1</v>
      </c>
      <c r="E158" s="249">
        <v>0.75</v>
      </c>
      <c r="F158" s="222"/>
    </row>
    <row r="159" spans="1:7" hidden="1">
      <c r="A159" s="222"/>
      <c r="B159" s="251" t="str">
        <f>$B$123</f>
        <v>Small grains</v>
      </c>
      <c r="C159" s="250">
        <v>0.84</v>
      </c>
      <c r="D159" s="250">
        <v>0.67</v>
      </c>
      <c r="E159" s="249">
        <v>0.55000000000000004</v>
      </c>
      <c r="F159" s="222"/>
    </row>
    <row r="160" spans="1:7" hidden="1">
      <c r="A160" s="222"/>
      <c r="B160" s="251" t="str">
        <f>$B$124</f>
        <v>Alfalfa &amp; other forages</v>
      </c>
      <c r="C160" s="250" t="e">
        <f>NA()</f>
        <v>#N/A</v>
      </c>
      <c r="D160" s="250" t="e">
        <f>NA()</f>
        <v>#N/A</v>
      </c>
      <c r="E160" s="249">
        <v>0.55000000000000004</v>
      </c>
      <c r="F160" s="222"/>
    </row>
    <row r="161" spans="1:6" hidden="1">
      <c r="A161" s="222"/>
      <c r="B161" s="252" t="s">
        <v>507</v>
      </c>
      <c r="C161" s="250" t="e">
        <f>NA()</f>
        <v>#N/A</v>
      </c>
      <c r="D161" s="250" t="e">
        <f>NA()</f>
        <v>#N/A</v>
      </c>
      <c r="E161" s="249">
        <v>0.15</v>
      </c>
      <c r="F161" s="222"/>
    </row>
    <row r="162" spans="1:6" hidden="1">
      <c r="A162" s="222"/>
      <c r="B162" s="252" t="s">
        <v>506</v>
      </c>
      <c r="C162" s="250">
        <v>1.35</v>
      </c>
      <c r="D162" s="250">
        <v>1</v>
      </c>
      <c r="E162" s="249">
        <v>0.75</v>
      </c>
      <c r="F162" s="222"/>
    </row>
    <row r="163" spans="1:6" hidden="1">
      <c r="A163" s="222"/>
      <c r="B163" s="252" t="s">
        <v>505</v>
      </c>
      <c r="C163" s="250">
        <v>1.35</v>
      </c>
      <c r="D163" s="250">
        <v>1</v>
      </c>
      <c r="E163" s="249">
        <v>0.75</v>
      </c>
    </row>
    <row r="164" spans="1:6" hidden="1">
      <c r="A164" s="222"/>
      <c r="B164" s="252" t="s">
        <v>504</v>
      </c>
      <c r="C164" s="250">
        <v>1.35</v>
      </c>
      <c r="D164" s="250">
        <v>1</v>
      </c>
      <c r="E164" s="249">
        <v>0.75</v>
      </c>
    </row>
    <row r="165" spans="1:6" hidden="1">
      <c r="A165" s="222"/>
      <c r="B165" s="251" t="str">
        <f>$B$129</f>
        <v>Pasture (50-75% cover, not heavily grazed)</v>
      </c>
      <c r="C165" s="250" t="e">
        <f>NA()</f>
        <v>#N/A</v>
      </c>
      <c r="D165" s="250" t="e">
        <f>NA()</f>
        <v>#N/A</v>
      </c>
      <c r="E165" s="249">
        <v>0.3</v>
      </c>
    </row>
    <row r="166" spans="1:6" hidden="1">
      <c r="A166" s="222"/>
      <c r="B166" s="251" t="str">
        <f>$B$130</f>
        <v>CRP, other ungrazed, perm. veg.</v>
      </c>
      <c r="C166" s="250" t="e">
        <f>NA()</f>
        <v>#N/A</v>
      </c>
      <c r="D166" s="250" t="e">
        <f>NA()</f>
        <v>#N/A</v>
      </c>
      <c r="E166" s="249">
        <v>0.12</v>
      </c>
    </row>
    <row r="167" spans="1:6" hidden="1">
      <c r="A167" s="222"/>
      <c r="B167" s="251" t="str">
        <f>$B$131</f>
        <v>Woodland (50-75% cover, not heavily grazed)</v>
      </c>
      <c r="C167" s="250" t="e">
        <f>NA()</f>
        <v>#N/A</v>
      </c>
      <c r="D167" s="250" t="e">
        <f>NA()</f>
        <v>#N/A</v>
      </c>
      <c r="E167" s="249">
        <v>0.15</v>
      </c>
    </row>
    <row r="168" spans="1:6" hidden="1">
      <c r="A168" s="222"/>
      <c r="B168" s="251"/>
      <c r="C168" s="242"/>
      <c r="D168" s="242"/>
      <c r="E168" s="253"/>
    </row>
    <row r="169" spans="1:6" hidden="1">
      <c r="A169" s="222"/>
      <c r="B169" s="251" t="s">
        <v>509</v>
      </c>
      <c r="C169" s="242" t="str">
        <f>$B$118</f>
        <v>&lt; 5 %</v>
      </c>
      <c r="D169" s="242" t="str">
        <f>$B$119</f>
        <v>0 - 20  %</v>
      </c>
      <c r="E169" s="253" t="str">
        <f>$B$120</f>
        <v>&gt; 20 %</v>
      </c>
    </row>
    <row r="170" spans="1:6" hidden="1">
      <c r="A170" s="222"/>
      <c r="B170" s="251" t="str">
        <f>$B$122</f>
        <v>Corn &amp; other row crops</v>
      </c>
      <c r="C170" s="250">
        <v>2.63</v>
      </c>
      <c r="D170" s="250">
        <v>1.96</v>
      </c>
      <c r="E170" s="249">
        <v>1.48</v>
      </c>
    </row>
    <row r="171" spans="1:6" hidden="1">
      <c r="A171" s="222"/>
      <c r="B171" s="251" t="str">
        <f>$B$123</f>
        <v>Small grains</v>
      </c>
      <c r="C171" s="250">
        <v>1.82</v>
      </c>
      <c r="D171" s="250">
        <v>1.48</v>
      </c>
      <c r="E171" s="249">
        <v>1.23</v>
      </c>
    </row>
    <row r="172" spans="1:6" hidden="1">
      <c r="A172" s="222"/>
      <c r="B172" s="251" t="str">
        <f>$B$124</f>
        <v>Alfalfa &amp; other forages</v>
      </c>
      <c r="C172" s="250" t="e">
        <f>NA()</f>
        <v>#N/A</v>
      </c>
      <c r="D172" s="250" t="e">
        <f>NA()</f>
        <v>#N/A</v>
      </c>
      <c r="E172" s="249">
        <v>1.37</v>
      </c>
    </row>
    <row r="173" spans="1:6" hidden="1">
      <c r="A173" s="222"/>
      <c r="B173" s="252" t="s">
        <v>507</v>
      </c>
      <c r="C173" s="250" t="e">
        <f>NA()</f>
        <v>#N/A</v>
      </c>
      <c r="D173" s="250" t="e">
        <f>NA()</f>
        <v>#N/A</v>
      </c>
      <c r="E173" s="249">
        <v>0.62</v>
      </c>
    </row>
    <row r="174" spans="1:6" hidden="1">
      <c r="A174" s="222"/>
      <c r="B174" s="252" t="s">
        <v>506</v>
      </c>
      <c r="C174" s="250">
        <v>2.63</v>
      </c>
      <c r="D174" s="250">
        <v>1.96</v>
      </c>
      <c r="E174" s="249">
        <v>1.48</v>
      </c>
    </row>
    <row r="175" spans="1:6" hidden="1">
      <c r="A175" s="222"/>
      <c r="B175" s="252" t="s">
        <v>505</v>
      </c>
      <c r="C175" s="250">
        <v>2.63</v>
      </c>
      <c r="D175" s="250">
        <v>1.96</v>
      </c>
      <c r="E175" s="249">
        <v>1.48</v>
      </c>
    </row>
    <row r="176" spans="1:6" hidden="1">
      <c r="A176" s="222"/>
      <c r="B176" s="252" t="s">
        <v>504</v>
      </c>
      <c r="C176" s="250">
        <v>2.63</v>
      </c>
      <c r="D176" s="250">
        <v>1.96</v>
      </c>
      <c r="E176" s="249">
        <v>1.48</v>
      </c>
    </row>
    <row r="177" spans="1:6" hidden="1">
      <c r="A177" s="222"/>
      <c r="B177" s="251" t="str">
        <f>$B$129</f>
        <v>Pasture (50-75% cover, not heavily grazed)</v>
      </c>
      <c r="C177" s="250" t="e">
        <f>NA()</f>
        <v>#N/A</v>
      </c>
      <c r="D177" s="250" t="e">
        <f>NA()</f>
        <v>#N/A</v>
      </c>
      <c r="E177" s="249">
        <v>1.08</v>
      </c>
    </row>
    <row r="178" spans="1:6" hidden="1">
      <c r="A178" s="222"/>
      <c r="B178" s="251" t="str">
        <f>$B$130</f>
        <v>CRP, other ungrazed, perm. veg.</v>
      </c>
      <c r="C178" s="250" t="e">
        <f>NA()</f>
        <v>#N/A</v>
      </c>
      <c r="D178" s="250" t="e">
        <f>NA()</f>
        <v>#N/A</v>
      </c>
      <c r="E178" s="249">
        <v>0.5</v>
      </c>
    </row>
    <row r="179" spans="1:6" hidden="1">
      <c r="A179" s="222"/>
      <c r="B179" s="251" t="str">
        <f>$B$131</f>
        <v>Woodland (50-75% cover, not heavily grazed)</v>
      </c>
      <c r="C179" s="250" t="e">
        <f>NA()</f>
        <v>#N/A</v>
      </c>
      <c r="D179" s="250" t="e">
        <f>NA()</f>
        <v>#N/A</v>
      </c>
      <c r="E179" s="249">
        <v>0.62</v>
      </c>
    </row>
    <row r="180" spans="1:6" hidden="1">
      <c r="A180" s="222"/>
      <c r="B180" s="251"/>
      <c r="C180" s="242"/>
      <c r="D180" s="242"/>
      <c r="E180" s="253"/>
    </row>
    <row r="181" spans="1:6" hidden="1">
      <c r="A181" s="222"/>
      <c r="B181" s="251" t="s">
        <v>508</v>
      </c>
      <c r="C181" s="242" t="str">
        <f>$B$118</f>
        <v>&lt; 5 %</v>
      </c>
      <c r="D181" s="242" t="str">
        <f>$B$119</f>
        <v>0 - 20  %</v>
      </c>
      <c r="E181" s="253" t="str">
        <f>$B$120</f>
        <v>&gt; 20 %</v>
      </c>
    </row>
    <row r="182" spans="1:6" hidden="1">
      <c r="A182" s="222"/>
      <c r="B182" s="251" t="str">
        <f>$B$122</f>
        <v>Corn &amp; other row crops</v>
      </c>
      <c r="C182" s="250">
        <v>3.58</v>
      </c>
      <c r="D182" s="250">
        <v>2.65</v>
      </c>
      <c r="E182" s="249">
        <v>1.98</v>
      </c>
    </row>
    <row r="183" spans="1:6" hidden="1">
      <c r="A183" s="222"/>
      <c r="B183" s="251" t="str">
        <f>$B$123</f>
        <v>Small grains</v>
      </c>
      <c r="C183" s="250">
        <v>2.63</v>
      </c>
      <c r="D183" s="250">
        <v>2.17</v>
      </c>
      <c r="E183" s="249">
        <v>1.82</v>
      </c>
    </row>
    <row r="184" spans="1:6" hidden="1">
      <c r="A184" s="222"/>
      <c r="B184" s="251" t="str">
        <f>$B$124</f>
        <v>Alfalfa &amp; other forages</v>
      </c>
      <c r="C184" s="250" t="e">
        <f>NA()</f>
        <v>#N/A</v>
      </c>
      <c r="D184" s="250" t="e">
        <f>NA()</f>
        <v>#N/A</v>
      </c>
      <c r="E184" s="249">
        <v>1.98</v>
      </c>
      <c r="F184" s="222"/>
    </row>
    <row r="185" spans="1:6" hidden="1">
      <c r="A185" s="222"/>
      <c r="B185" s="252" t="s">
        <v>507</v>
      </c>
      <c r="C185" s="247" t="e">
        <f>NA()</f>
        <v>#N/A</v>
      </c>
      <c r="D185" s="247" t="e">
        <f>NA()</f>
        <v>#N/A</v>
      </c>
      <c r="E185" s="246">
        <v>1.1000000000000001</v>
      </c>
      <c r="F185" s="222"/>
    </row>
    <row r="186" spans="1:6" hidden="1">
      <c r="A186" s="222"/>
      <c r="B186" s="252" t="s">
        <v>506</v>
      </c>
      <c r="C186" s="250">
        <v>3.58</v>
      </c>
      <c r="D186" s="250">
        <v>2.65</v>
      </c>
      <c r="E186" s="249">
        <v>1.98</v>
      </c>
      <c r="F186" s="222"/>
    </row>
    <row r="187" spans="1:6" hidden="1">
      <c r="A187" s="222"/>
      <c r="B187" s="252" t="s">
        <v>505</v>
      </c>
      <c r="C187" s="250">
        <v>3.58</v>
      </c>
      <c r="D187" s="250">
        <v>2.65</v>
      </c>
      <c r="E187" s="249">
        <v>1.98</v>
      </c>
      <c r="F187" s="222"/>
    </row>
    <row r="188" spans="1:6" hidden="1">
      <c r="A188" s="222"/>
      <c r="B188" s="252" t="s">
        <v>504</v>
      </c>
      <c r="C188" s="250">
        <v>3.58</v>
      </c>
      <c r="D188" s="250">
        <v>2.65</v>
      </c>
      <c r="E188" s="249">
        <v>1.98</v>
      </c>
      <c r="F188" s="222"/>
    </row>
    <row r="189" spans="1:6" hidden="1">
      <c r="A189" s="222"/>
      <c r="B189" s="251" t="str">
        <f>$B$129</f>
        <v>Pasture (50-75% cover, not heavily grazed)</v>
      </c>
      <c r="C189" s="250" t="e">
        <f>NA()</f>
        <v>#N/A</v>
      </c>
      <c r="D189" s="250" t="e">
        <f>NA()</f>
        <v>#N/A</v>
      </c>
      <c r="E189" s="249">
        <v>1.82</v>
      </c>
      <c r="F189" s="222"/>
    </row>
    <row r="190" spans="1:6" hidden="1">
      <c r="A190" s="222"/>
      <c r="B190" s="251" t="str">
        <f>$B$130</f>
        <v>CRP, other ungrazed, perm. veg.</v>
      </c>
      <c r="C190" s="250" t="e">
        <f>NA()</f>
        <v>#N/A</v>
      </c>
      <c r="D190" s="250" t="e">
        <f>NA()</f>
        <v>#N/A</v>
      </c>
      <c r="E190" s="249">
        <v>1</v>
      </c>
      <c r="F190" s="222"/>
    </row>
    <row r="191" spans="1:6" hidden="1">
      <c r="A191" s="222"/>
      <c r="B191" s="248" t="str">
        <f>$B$131</f>
        <v>Woodland (50-75% cover, not heavily grazed)</v>
      </c>
      <c r="C191" s="247" t="e">
        <f>NA()</f>
        <v>#N/A</v>
      </c>
      <c r="D191" s="247" t="e">
        <f>NA()</f>
        <v>#N/A</v>
      </c>
      <c r="E191" s="246">
        <v>1.1000000000000001</v>
      </c>
      <c r="F191" s="222"/>
    </row>
    <row r="192" spans="1:6" hidden="1">
      <c r="A192" s="222"/>
      <c r="B192" s="222"/>
      <c r="C192" s="222"/>
      <c r="D192" s="222"/>
      <c r="E192" s="222"/>
      <c r="F192" s="222"/>
    </row>
    <row r="193" spans="1:6" hidden="1">
      <c r="A193" s="222"/>
      <c r="B193" s="222"/>
      <c r="C193" s="222"/>
      <c r="D193" s="222"/>
      <c r="E193" s="222"/>
      <c r="F193" s="222"/>
    </row>
    <row r="194" spans="1:6" hidden="1">
      <c r="A194" s="222"/>
      <c r="B194" s="222"/>
      <c r="C194" s="222"/>
      <c r="D194" s="222"/>
      <c r="E194" s="222"/>
      <c r="F194" s="222"/>
    </row>
    <row r="195" spans="1:6" hidden="1">
      <c r="A195" s="222"/>
      <c r="B195" s="222" t="s">
        <v>503</v>
      </c>
      <c r="C195" s="222"/>
      <c r="D195" s="222"/>
      <c r="E195" s="222"/>
      <c r="F195" s="222"/>
    </row>
    <row r="196" spans="1:6" hidden="1">
      <c r="A196" s="222"/>
      <c r="B196" s="222" t="s">
        <v>502</v>
      </c>
      <c r="C196" s="222">
        <v>1</v>
      </c>
      <c r="D196" s="222"/>
      <c r="E196" s="222"/>
      <c r="F196" s="222"/>
    </row>
    <row r="197" spans="1:6" hidden="1">
      <c r="A197" s="222"/>
      <c r="B197" s="222" t="s">
        <v>501</v>
      </c>
      <c r="C197" s="222">
        <v>0</v>
      </c>
      <c r="D197" s="222"/>
      <c r="E197" s="222"/>
      <c r="F197" s="222"/>
    </row>
    <row r="198" spans="1:6" hidden="1">
      <c r="A198" s="222"/>
      <c r="B198" s="222" t="s">
        <v>500</v>
      </c>
      <c r="C198" s="222">
        <v>0.05</v>
      </c>
      <c r="D198" s="222"/>
      <c r="E198" s="222"/>
      <c r="F198" s="222"/>
    </row>
    <row r="199" spans="1:6" hidden="1">
      <c r="A199" s="222"/>
      <c r="B199" s="222" t="s">
        <v>499</v>
      </c>
      <c r="C199" s="222">
        <v>0.2</v>
      </c>
      <c r="D199" s="222"/>
      <c r="E199" s="222"/>
      <c r="F199" s="222"/>
    </row>
    <row r="200" spans="1:6" ht="13.5" hidden="1" thickBot="1">
      <c r="A200" s="222"/>
      <c r="B200" s="222" t="s">
        <v>498</v>
      </c>
      <c r="C200" s="222">
        <v>0.1</v>
      </c>
      <c r="D200" s="222"/>
      <c r="E200" s="465"/>
      <c r="F200" s="222"/>
    </row>
    <row r="201" spans="1:6" hidden="1">
      <c r="A201" s="222"/>
      <c r="B201" s="466" t="s">
        <v>790</v>
      </c>
      <c r="C201" s="244"/>
      <c r="D201" s="222"/>
      <c r="E201" s="465"/>
      <c r="F201" s="222"/>
    </row>
    <row r="202" spans="1:6" hidden="1">
      <c r="A202" s="222"/>
      <c r="B202" s="233" t="s">
        <v>789</v>
      </c>
      <c r="C202" s="243">
        <v>1</v>
      </c>
      <c r="D202" s="222"/>
      <c r="E202" s="465"/>
      <c r="F202" s="222"/>
    </row>
    <row r="203" spans="1:6" hidden="1">
      <c r="A203" s="222"/>
      <c r="B203" s="233" t="s">
        <v>802</v>
      </c>
      <c r="C203" s="471">
        <v>0.10919540229885062</v>
      </c>
      <c r="D203" s="224"/>
      <c r="E203" s="465"/>
      <c r="F203" s="222"/>
    </row>
    <row r="204" spans="1:6" hidden="1">
      <c r="A204" s="222"/>
      <c r="B204" s="467" t="s">
        <v>801</v>
      </c>
      <c r="C204" s="471">
        <v>0.12923775153105863</v>
      </c>
      <c r="D204" s="224"/>
      <c r="E204" s="465"/>
      <c r="F204" s="222"/>
    </row>
    <row r="205" spans="1:6" hidden="1">
      <c r="A205" s="222"/>
      <c r="B205" s="469" t="s">
        <v>805</v>
      </c>
      <c r="C205" s="471">
        <v>0</v>
      </c>
      <c r="D205" s="224"/>
      <c r="E205" s="465"/>
      <c r="F205" s="222"/>
    </row>
    <row r="206" spans="1:6" hidden="1">
      <c r="A206" s="222"/>
      <c r="B206" s="467" t="s">
        <v>803</v>
      </c>
      <c r="C206" s="471">
        <v>0.46662669864108719</v>
      </c>
      <c r="D206" s="224"/>
      <c r="E206" s="465"/>
      <c r="F206" s="222"/>
    </row>
    <row r="207" spans="1:6" hidden="1">
      <c r="A207" s="222"/>
      <c r="B207" s="467" t="s">
        <v>793</v>
      </c>
      <c r="C207" s="471">
        <v>0.28645833333333337</v>
      </c>
      <c r="D207" s="224"/>
      <c r="F207" s="222"/>
    </row>
    <row r="208" spans="1:6" hidden="1">
      <c r="A208" s="222"/>
      <c r="B208" s="233" t="s">
        <v>804</v>
      </c>
      <c r="C208" s="471">
        <v>7.4751580849141838E-2</v>
      </c>
      <c r="D208" s="224"/>
      <c r="E208" s="222"/>
      <c r="F208" s="222"/>
    </row>
    <row r="209" spans="1:6" hidden="1">
      <c r="A209" s="222"/>
      <c r="B209" s="233" t="s">
        <v>800</v>
      </c>
      <c r="C209" s="471">
        <v>7.2478728728728778E-2</v>
      </c>
      <c r="D209" s="224"/>
      <c r="E209" s="222"/>
      <c r="F209" s="222"/>
    </row>
    <row r="210" spans="1:6" hidden="1">
      <c r="A210" s="222"/>
      <c r="B210" s="470" t="s">
        <v>806</v>
      </c>
      <c r="C210" s="471">
        <v>0.11189727463312366</v>
      </c>
      <c r="D210" s="224"/>
      <c r="E210" s="222"/>
      <c r="F210" s="222"/>
    </row>
    <row r="211" spans="1:6" hidden="1">
      <c r="A211" s="222"/>
      <c r="B211" s="470" t="s">
        <v>29</v>
      </c>
      <c r="C211" s="243">
        <v>0.75</v>
      </c>
      <c r="D211" s="222"/>
      <c r="E211" s="222"/>
      <c r="F211" s="222"/>
    </row>
    <row r="212" spans="1:6" ht="13.5" hidden="1" thickBot="1">
      <c r="A212" s="222"/>
      <c r="B212" s="230" t="s">
        <v>497</v>
      </c>
      <c r="C212" s="468">
        <v>1</v>
      </c>
      <c r="D212" s="222"/>
      <c r="E212" s="222"/>
      <c r="F212" s="222"/>
    </row>
    <row r="213" spans="1:6" hidden="1">
      <c r="A213" s="222"/>
      <c r="B213" s="241" t="s">
        <v>496</v>
      </c>
      <c r="C213" s="245" t="s">
        <v>486</v>
      </c>
      <c r="D213" s="245"/>
      <c r="E213" s="244"/>
      <c r="F213" s="222"/>
    </row>
    <row r="214" spans="1:6" hidden="1">
      <c r="A214" s="222"/>
      <c r="B214" s="236" t="s">
        <v>485</v>
      </c>
      <c r="C214" s="242"/>
      <c r="D214" s="242"/>
      <c r="E214" s="243"/>
      <c r="F214" s="222"/>
    </row>
    <row r="215" spans="1:6" hidden="1">
      <c r="A215" s="222"/>
      <c r="B215" s="236" t="s">
        <v>480</v>
      </c>
      <c r="C215" s="235" t="s">
        <v>495</v>
      </c>
      <c r="D215" s="235" t="s">
        <v>494</v>
      </c>
      <c r="E215" s="234" t="s">
        <v>493</v>
      </c>
      <c r="F215" s="222"/>
    </row>
    <row r="216" spans="1:6" hidden="1">
      <c r="A216" s="222"/>
      <c r="B216" s="233" t="s">
        <v>492</v>
      </c>
      <c r="C216" s="235">
        <v>1.2</v>
      </c>
      <c r="D216" s="235">
        <v>1.5</v>
      </c>
      <c r="E216" s="234">
        <v>2.4</v>
      </c>
      <c r="F216" s="222"/>
    </row>
    <row r="217" spans="1:6" hidden="1">
      <c r="A217" s="222"/>
      <c r="B217" s="233" t="s">
        <v>491</v>
      </c>
      <c r="C217" s="235">
        <v>2</v>
      </c>
      <c r="D217" s="235">
        <v>2</v>
      </c>
      <c r="E217" s="234">
        <v>2.4</v>
      </c>
      <c r="F217" s="222"/>
    </row>
    <row r="218" spans="1:6" hidden="1">
      <c r="A218" s="222"/>
      <c r="B218" s="233" t="s">
        <v>490</v>
      </c>
      <c r="C218" s="235">
        <v>1.1000000000000001</v>
      </c>
      <c r="D218" s="235">
        <v>1.4</v>
      </c>
      <c r="E218" s="234">
        <v>2</v>
      </c>
      <c r="F218" s="222"/>
    </row>
    <row r="219" spans="1:6" hidden="1">
      <c r="A219" s="222"/>
      <c r="B219" s="233" t="s">
        <v>489</v>
      </c>
      <c r="C219" s="235">
        <v>1.1000000000000001</v>
      </c>
      <c r="D219" s="235">
        <v>1.2</v>
      </c>
      <c r="E219" s="234">
        <v>1.2</v>
      </c>
      <c r="F219" s="222"/>
    </row>
    <row r="220" spans="1:6" hidden="1">
      <c r="A220" s="222"/>
      <c r="B220" s="233" t="s">
        <v>488</v>
      </c>
      <c r="C220" s="235">
        <v>1</v>
      </c>
      <c r="D220" s="235">
        <v>1.1000000000000001</v>
      </c>
      <c r="E220" s="234">
        <v>1.4</v>
      </c>
      <c r="F220" s="222"/>
    </row>
    <row r="221" spans="1:6" hidden="1">
      <c r="A221" s="222"/>
      <c r="B221" s="233" t="s">
        <v>484</v>
      </c>
      <c r="C221" s="235">
        <f>MAX(C216:C220)</f>
        <v>2</v>
      </c>
      <c r="D221" s="235">
        <f>MAX(D216:D220)</f>
        <v>2</v>
      </c>
      <c r="E221" s="234">
        <f>MAX(E216:E220)</f>
        <v>2.4</v>
      </c>
      <c r="F221" s="222"/>
    </row>
    <row r="222" spans="1:6" hidden="1">
      <c r="A222" s="222"/>
      <c r="B222" s="233" t="s">
        <v>483</v>
      </c>
      <c r="C222" s="235">
        <f>MIN(C216:C220)</f>
        <v>1</v>
      </c>
      <c r="D222" s="235">
        <f>MIN(D216:D220)</f>
        <v>1.1000000000000001</v>
      </c>
      <c r="E222" s="234">
        <f>MIN(E216:E220)</f>
        <v>1.2</v>
      </c>
      <c r="F222" s="222"/>
    </row>
    <row r="223" spans="1:6" hidden="1">
      <c r="A223" s="222"/>
      <c r="B223" s="233" t="s">
        <v>482</v>
      </c>
      <c r="C223" s="235">
        <v>4</v>
      </c>
      <c r="D223" s="235"/>
      <c r="E223" s="234"/>
      <c r="F223" s="222"/>
    </row>
    <row r="224" spans="1:6" hidden="1">
      <c r="A224" s="222"/>
      <c r="B224" s="233" t="s">
        <v>481</v>
      </c>
      <c r="C224" s="242"/>
      <c r="D224" s="242"/>
      <c r="E224" s="243"/>
      <c r="F224" s="222"/>
    </row>
    <row r="225" spans="1:6" hidden="1">
      <c r="A225" s="222"/>
      <c r="B225" s="236" t="s">
        <v>480</v>
      </c>
      <c r="C225" s="235" t="s">
        <v>495</v>
      </c>
      <c r="D225" s="235" t="s">
        <v>494</v>
      </c>
      <c r="E225" s="234" t="s">
        <v>493</v>
      </c>
      <c r="F225" s="222"/>
    </row>
    <row r="226" spans="1:6" hidden="1">
      <c r="A226" s="222"/>
      <c r="B226" s="233" t="s">
        <v>492</v>
      </c>
      <c r="C226" s="232">
        <f t="shared" ref="C226:E230" si="88">C$222+(C216-C$222)/$C$223</f>
        <v>1.05</v>
      </c>
      <c r="D226" s="232">
        <f t="shared" si="88"/>
        <v>1.2000000000000002</v>
      </c>
      <c r="E226" s="231">
        <f t="shared" si="88"/>
        <v>1.5</v>
      </c>
      <c r="F226" s="222"/>
    </row>
    <row r="227" spans="1:6" hidden="1">
      <c r="A227" s="222"/>
      <c r="B227" s="233" t="s">
        <v>491</v>
      </c>
      <c r="C227" s="232">
        <f t="shared" si="88"/>
        <v>1.25</v>
      </c>
      <c r="D227" s="232">
        <f t="shared" si="88"/>
        <v>1.3250000000000002</v>
      </c>
      <c r="E227" s="231">
        <f t="shared" si="88"/>
        <v>1.5</v>
      </c>
      <c r="F227" s="227"/>
    </row>
    <row r="228" spans="1:6" hidden="1">
      <c r="A228" s="222"/>
      <c r="B228" s="233" t="s">
        <v>490</v>
      </c>
      <c r="C228" s="232">
        <f t="shared" si="88"/>
        <v>1.0249999999999999</v>
      </c>
      <c r="D228" s="232">
        <f t="shared" si="88"/>
        <v>1.175</v>
      </c>
      <c r="E228" s="231">
        <f t="shared" si="88"/>
        <v>1.4</v>
      </c>
      <c r="F228" s="227"/>
    </row>
    <row r="229" spans="1:6" hidden="1">
      <c r="A229" s="222"/>
      <c r="B229" s="233" t="s">
        <v>489</v>
      </c>
      <c r="C229" s="232">
        <f t="shared" si="88"/>
        <v>1.0249999999999999</v>
      </c>
      <c r="D229" s="232">
        <f t="shared" si="88"/>
        <v>1.125</v>
      </c>
      <c r="E229" s="231">
        <f t="shared" si="88"/>
        <v>1.2</v>
      </c>
      <c r="F229" s="227"/>
    </row>
    <row r="230" spans="1:6" ht="13.5" hidden="1" thickBot="1">
      <c r="A230" s="222"/>
      <c r="B230" s="230" t="s">
        <v>488</v>
      </c>
      <c r="C230" s="229">
        <f t="shared" si="88"/>
        <v>1</v>
      </c>
      <c r="D230" s="229">
        <f t="shared" si="88"/>
        <v>1.1000000000000001</v>
      </c>
      <c r="E230" s="228">
        <f t="shared" si="88"/>
        <v>1.25</v>
      </c>
      <c r="F230" s="227"/>
    </row>
    <row r="231" spans="1:6" hidden="1">
      <c r="A231" s="222"/>
      <c r="B231" s="242"/>
      <c r="C231" s="235"/>
      <c r="D231" s="235"/>
      <c r="E231" s="235"/>
      <c r="F231" s="227"/>
    </row>
    <row r="232" spans="1:6" ht="13.5" hidden="1" thickBot="1">
      <c r="A232" s="222"/>
      <c r="B232" s="222"/>
      <c r="C232" s="227"/>
      <c r="D232" s="227"/>
      <c r="E232" s="227"/>
      <c r="F232" s="227"/>
    </row>
    <row r="233" spans="1:6" hidden="1">
      <c r="A233" s="222"/>
      <c r="B233" s="241" t="s">
        <v>487</v>
      </c>
      <c r="C233" s="240" t="s">
        <v>486</v>
      </c>
      <c r="D233" s="240"/>
      <c r="E233" s="239"/>
      <c r="F233" s="227"/>
    </row>
    <row r="234" spans="1:6" hidden="1">
      <c r="A234" s="222"/>
      <c r="B234" s="236" t="s">
        <v>485</v>
      </c>
      <c r="C234" s="235"/>
      <c r="D234" s="235"/>
      <c r="E234" s="234"/>
      <c r="F234" s="227"/>
    </row>
    <row r="235" spans="1:6" hidden="1">
      <c r="A235" s="222"/>
      <c r="B235" s="236" t="s">
        <v>480</v>
      </c>
      <c r="C235" s="235" t="str">
        <f>C$225</f>
        <v>&lt; 600 </v>
      </c>
      <c r="D235" s="235" t="str">
        <f>D$225</f>
        <v>600 - 1000 </v>
      </c>
      <c r="E235" s="234" t="str">
        <f>E$225</f>
        <v>&gt; 1000 </v>
      </c>
      <c r="F235" s="227"/>
    </row>
    <row r="236" spans="1:6" hidden="1">
      <c r="A236" s="222"/>
      <c r="B236" s="233" t="str">
        <f>B$226</f>
        <v>SW (Bennington, Rutland)</v>
      </c>
      <c r="C236" s="235">
        <v>1.5</v>
      </c>
      <c r="D236" s="235">
        <v>2</v>
      </c>
      <c r="E236" s="234">
        <v>4</v>
      </c>
      <c r="F236" s="227"/>
    </row>
    <row r="237" spans="1:6" hidden="1">
      <c r="A237" s="222"/>
      <c r="B237" s="233" t="str">
        <f>B$227</f>
        <v>SE (Windham, Windsor)</v>
      </c>
      <c r="C237" s="235">
        <v>3</v>
      </c>
      <c r="D237" s="235">
        <v>4</v>
      </c>
      <c r="E237" s="234">
        <v>5</v>
      </c>
      <c r="F237" s="227"/>
    </row>
    <row r="238" spans="1:6" hidden="1">
      <c r="A238" s="222"/>
      <c r="B238" s="233" t="str">
        <f>B$228</f>
        <v>NW (Addison, Chittenden, Franklin, Grand Isle)</v>
      </c>
      <c r="C238" s="235">
        <v>2</v>
      </c>
      <c r="D238" s="235">
        <v>3</v>
      </c>
      <c r="E238" s="234">
        <v>4</v>
      </c>
      <c r="F238" s="222"/>
    </row>
    <row r="239" spans="1:6" hidden="1">
      <c r="A239" s="222"/>
      <c r="B239" s="233" t="str">
        <f>B$229</f>
        <v>NCent (Washington, Lamoille)</v>
      </c>
      <c r="C239" s="235">
        <v>2.5</v>
      </c>
      <c r="D239" s="235">
        <v>3.5</v>
      </c>
      <c r="E239" s="234">
        <v>3.5</v>
      </c>
      <c r="F239" s="222"/>
    </row>
    <row r="240" spans="1:6" hidden="1">
      <c r="A240" s="222"/>
      <c r="B240" s="233" t="str">
        <f>B$230</f>
        <v>NE (Orange, Orleans, Essex, Caledonia)</v>
      </c>
      <c r="C240" s="235">
        <v>3</v>
      </c>
      <c r="D240" s="235">
        <v>4.5</v>
      </c>
      <c r="E240" s="234">
        <v>6</v>
      </c>
      <c r="F240" s="222"/>
    </row>
    <row r="241" spans="1:6" hidden="1">
      <c r="A241" s="222"/>
      <c r="B241" s="233" t="s">
        <v>484</v>
      </c>
      <c r="C241" s="235">
        <f>MAX(C236:C240)</f>
        <v>3</v>
      </c>
      <c r="D241" s="235">
        <f>MAX(D236:D240)</f>
        <v>4.5</v>
      </c>
      <c r="E241" s="234">
        <f>MAX(E236:E240)</f>
        <v>6</v>
      </c>
      <c r="F241" s="222"/>
    </row>
    <row r="242" spans="1:6" hidden="1">
      <c r="A242" s="222"/>
      <c r="B242" s="233" t="s">
        <v>483</v>
      </c>
      <c r="C242" s="235">
        <f>MIN(C236:C240)</f>
        <v>1.5</v>
      </c>
      <c r="D242" s="235">
        <f>MIN(D236:D240)</f>
        <v>2</v>
      </c>
      <c r="E242" s="234">
        <f>MIN(E236:E240)</f>
        <v>3.5</v>
      </c>
      <c r="F242" s="222"/>
    </row>
    <row r="243" spans="1:6" hidden="1">
      <c r="A243" s="222"/>
      <c r="B243" s="233" t="s">
        <v>482</v>
      </c>
      <c r="C243" s="235">
        <f>C223</f>
        <v>4</v>
      </c>
      <c r="D243" s="235"/>
      <c r="E243" s="234"/>
      <c r="F243" s="222"/>
    </row>
    <row r="244" spans="1:6" hidden="1">
      <c r="A244" s="222"/>
      <c r="B244" s="233" t="s">
        <v>481</v>
      </c>
      <c r="C244" s="238"/>
      <c r="D244" s="238"/>
      <c r="E244" s="237"/>
      <c r="F244" s="222"/>
    </row>
    <row r="245" spans="1:6" hidden="1">
      <c r="A245" s="222"/>
      <c r="B245" s="236" t="s">
        <v>480</v>
      </c>
      <c r="C245" s="235" t="str">
        <f>C$225</f>
        <v>&lt; 600 </v>
      </c>
      <c r="D245" s="235" t="str">
        <f>D$225</f>
        <v>600 - 1000 </v>
      </c>
      <c r="E245" s="234" t="str">
        <f>E$225</f>
        <v>&gt; 1000 </v>
      </c>
      <c r="F245" s="222"/>
    </row>
    <row r="246" spans="1:6" hidden="1">
      <c r="A246" s="222"/>
      <c r="B246" s="233" t="str">
        <f>B$226</f>
        <v>SW (Bennington, Rutland)</v>
      </c>
      <c r="C246" s="232">
        <f t="shared" ref="C246:E250" si="89">C$242+(C236-C$242)/$C$243</f>
        <v>1.5</v>
      </c>
      <c r="D246" s="232">
        <f t="shared" si="89"/>
        <v>2</v>
      </c>
      <c r="E246" s="231">
        <f t="shared" si="89"/>
        <v>3.625</v>
      </c>
      <c r="F246" s="222"/>
    </row>
    <row r="247" spans="1:6" hidden="1">
      <c r="A247" s="222"/>
      <c r="B247" s="233" t="str">
        <f>B$227</f>
        <v>SE (Windham, Windsor)</v>
      </c>
      <c r="C247" s="232">
        <f t="shared" si="89"/>
        <v>1.875</v>
      </c>
      <c r="D247" s="232">
        <f t="shared" si="89"/>
        <v>2.5</v>
      </c>
      <c r="E247" s="231">
        <f t="shared" si="89"/>
        <v>3.875</v>
      </c>
      <c r="F247" s="222"/>
    </row>
    <row r="248" spans="1:6" hidden="1">
      <c r="A248" s="222"/>
      <c r="B248" s="233" t="str">
        <f>B$228</f>
        <v>NW (Addison, Chittenden, Franklin, Grand Isle)</v>
      </c>
      <c r="C248" s="232">
        <f t="shared" si="89"/>
        <v>1.625</v>
      </c>
      <c r="D248" s="232">
        <f t="shared" si="89"/>
        <v>2.25</v>
      </c>
      <c r="E248" s="231">
        <f t="shared" si="89"/>
        <v>3.625</v>
      </c>
      <c r="F248" s="222"/>
    </row>
    <row r="249" spans="1:6" hidden="1">
      <c r="A249" s="222"/>
      <c r="B249" s="233" t="str">
        <f>B$229</f>
        <v>NCent (Washington, Lamoille)</v>
      </c>
      <c r="C249" s="232">
        <f t="shared" si="89"/>
        <v>1.75</v>
      </c>
      <c r="D249" s="232">
        <f t="shared" si="89"/>
        <v>2.375</v>
      </c>
      <c r="E249" s="231">
        <f t="shared" si="89"/>
        <v>3.5</v>
      </c>
      <c r="F249" s="222"/>
    </row>
    <row r="250" spans="1:6" ht="13.5" hidden="1" thickBot="1">
      <c r="A250" s="222"/>
      <c r="B250" s="230" t="str">
        <f>B$230</f>
        <v>NE (Orange, Orleans, Essex, Caledonia)</v>
      </c>
      <c r="C250" s="229">
        <f t="shared" si="89"/>
        <v>1.875</v>
      </c>
      <c r="D250" s="229">
        <f t="shared" si="89"/>
        <v>2.625</v>
      </c>
      <c r="E250" s="228">
        <f t="shared" si="89"/>
        <v>4.125</v>
      </c>
      <c r="F250" s="222"/>
    </row>
    <row r="251" spans="1:6" hidden="1">
      <c r="A251" s="222"/>
      <c r="B251" s="222"/>
      <c r="C251" s="227"/>
      <c r="D251" s="222"/>
      <c r="E251" s="222"/>
      <c r="F251" s="222"/>
    </row>
    <row r="252" spans="1:6" hidden="1">
      <c r="A252" s="222"/>
      <c r="B252" s="222" t="s">
        <v>479</v>
      </c>
      <c r="C252" s="227">
        <v>2</v>
      </c>
      <c r="D252" s="222"/>
      <c r="E252" s="222"/>
      <c r="F252" s="222"/>
    </row>
    <row r="253" spans="1:6" ht="13.5" hidden="1" thickBot="1">
      <c r="A253" s="222"/>
      <c r="B253" s="222"/>
      <c r="C253" s="222"/>
      <c r="D253" s="222"/>
      <c r="E253" s="222"/>
      <c r="F253" s="222"/>
    </row>
    <row r="254" spans="1:6" ht="13.5" hidden="1" thickTop="1">
      <c r="A254" s="222"/>
      <c r="B254" s="225" t="s">
        <v>478</v>
      </c>
      <c r="C254" s="225" t="s">
        <v>477</v>
      </c>
      <c r="D254" s="226" t="s">
        <v>476</v>
      </c>
      <c r="E254" s="225" t="s">
        <v>475</v>
      </c>
      <c r="F254" s="222"/>
    </row>
    <row r="255" spans="1:6" hidden="1">
      <c r="A255" s="222"/>
      <c r="B255" s="222" t="s">
        <v>474</v>
      </c>
      <c r="C255" s="224" t="s">
        <v>473</v>
      </c>
      <c r="D255" s="223">
        <v>1.9803166822284473</v>
      </c>
      <c r="E255" s="222">
        <v>1.18</v>
      </c>
      <c r="F255" s="222"/>
    </row>
    <row r="256" spans="1:6" hidden="1">
      <c r="A256" s="222"/>
      <c r="B256" s="222" t="s">
        <v>472</v>
      </c>
      <c r="C256" s="224" t="s">
        <v>471</v>
      </c>
      <c r="D256" s="223">
        <v>2.2323569872393403</v>
      </c>
      <c r="E256" s="222">
        <v>1.73</v>
      </c>
      <c r="F256" s="222"/>
    </row>
    <row r="257" spans="1:6" hidden="1">
      <c r="A257" s="222"/>
      <c r="B257" s="222" t="s">
        <v>470</v>
      </c>
      <c r="C257" s="224" t="s">
        <v>469</v>
      </c>
      <c r="D257" s="223">
        <v>4.5727312480547777</v>
      </c>
      <c r="E257" s="222">
        <v>2.39</v>
      </c>
      <c r="F257" s="222"/>
    </row>
    <row r="258" spans="1:6" hidden="1">
      <c r="A258" s="222"/>
      <c r="B258" s="222" t="s">
        <v>468</v>
      </c>
      <c r="C258" s="224" t="s">
        <v>467</v>
      </c>
      <c r="D258" s="223">
        <v>5.2208348895113605</v>
      </c>
      <c r="E258" s="222">
        <v>1.1299999999999999</v>
      </c>
      <c r="F258" s="222"/>
    </row>
    <row r="259" spans="1:6" hidden="1">
      <c r="A259" s="222"/>
      <c r="B259" s="222" t="s">
        <v>466</v>
      </c>
      <c r="C259" s="224" t="s">
        <v>465</v>
      </c>
      <c r="D259" s="223">
        <v>3.0244836601307195</v>
      </c>
      <c r="E259" s="222">
        <v>1.03</v>
      </c>
      <c r="F259" s="222"/>
    </row>
    <row r="260" spans="1:6" hidden="1">
      <c r="A260" s="222"/>
      <c r="B260" s="222" t="s">
        <v>464</v>
      </c>
      <c r="C260" s="224" t="s">
        <v>463</v>
      </c>
      <c r="D260" s="223">
        <v>1.8182907718643013</v>
      </c>
      <c r="E260" s="222">
        <v>0.92</v>
      </c>
      <c r="F260" s="222"/>
    </row>
    <row r="261" spans="1:6" hidden="1">
      <c r="A261" s="222"/>
      <c r="B261" s="222" t="s">
        <v>462</v>
      </c>
      <c r="C261" s="224" t="s">
        <v>461</v>
      </c>
      <c r="D261" s="223">
        <v>1.8722994086523501</v>
      </c>
      <c r="E261" s="222">
        <v>1.08</v>
      </c>
      <c r="F261" s="222"/>
    </row>
    <row r="262" spans="1:6" hidden="1">
      <c r="A262" s="222"/>
      <c r="B262" s="222" t="s">
        <v>460</v>
      </c>
      <c r="C262" s="224" t="s">
        <v>459</v>
      </c>
      <c r="D262" s="223">
        <v>14.708352085278557</v>
      </c>
      <c r="E262" s="222">
        <v>3.07</v>
      </c>
      <c r="F262" s="222"/>
    </row>
    <row r="263" spans="1:6" hidden="1">
      <c r="A263" s="222"/>
      <c r="B263" s="222" t="s">
        <v>458</v>
      </c>
      <c r="C263" s="224" t="s">
        <v>457</v>
      </c>
      <c r="D263" s="223">
        <v>3.6185786647992537</v>
      </c>
      <c r="E263" s="222">
        <v>1</v>
      </c>
      <c r="F263" s="222"/>
    </row>
    <row r="264" spans="1:6" hidden="1">
      <c r="A264" s="222"/>
      <c r="B264" s="222" t="s">
        <v>456</v>
      </c>
      <c r="C264" s="224" t="s">
        <v>455</v>
      </c>
      <c r="D264" s="223">
        <v>4.1406621537503892</v>
      </c>
      <c r="E264" s="222">
        <v>1.02</v>
      </c>
      <c r="F264" s="222"/>
    </row>
    <row r="265" spans="1:6" hidden="1">
      <c r="A265" s="222"/>
      <c r="B265" s="222" t="s">
        <v>454</v>
      </c>
      <c r="C265" s="224" t="s">
        <v>453</v>
      </c>
      <c r="D265" s="223">
        <v>1.5482475879240587</v>
      </c>
      <c r="E265" s="222">
        <v>1.33</v>
      </c>
      <c r="F265" s="222"/>
    </row>
    <row r="266" spans="1:6" hidden="1">
      <c r="A266" s="222"/>
      <c r="B266" s="222" t="s">
        <v>452</v>
      </c>
      <c r="C266" s="224" t="s">
        <v>451</v>
      </c>
      <c r="D266" s="223">
        <v>3.6005757858699039</v>
      </c>
      <c r="E266" s="222">
        <v>1.32</v>
      </c>
      <c r="F266" s="222"/>
    </row>
    <row r="267" spans="1:6" hidden="1">
      <c r="A267" s="222"/>
      <c r="B267" s="222" t="s">
        <v>450</v>
      </c>
      <c r="C267" s="224" t="s">
        <v>449</v>
      </c>
      <c r="D267" s="223">
        <v>3.2405182072829133</v>
      </c>
      <c r="E267" s="222">
        <v>1.1200000000000001</v>
      </c>
      <c r="F267" s="222"/>
    </row>
    <row r="268" spans="1:6" hidden="1">
      <c r="A268" s="222"/>
      <c r="B268" s="222" t="s">
        <v>448</v>
      </c>
      <c r="C268" s="224" t="s">
        <v>447</v>
      </c>
      <c r="D268" s="223">
        <v>2.4483915343915346</v>
      </c>
      <c r="E268" s="222">
        <v>2.41</v>
      </c>
      <c r="F268" s="222"/>
    </row>
    <row r="269" spans="1:6" hidden="1">
      <c r="A269" s="222"/>
      <c r="B269" s="222" t="s">
        <v>446</v>
      </c>
      <c r="C269" s="224" t="s">
        <v>445</v>
      </c>
      <c r="D269" s="223">
        <v>3.2405182072829133</v>
      </c>
      <c r="E269" s="222">
        <v>1.75</v>
      </c>
      <c r="F269" s="222"/>
    </row>
    <row r="270" spans="1:6" hidden="1">
      <c r="A270" s="222"/>
      <c r="B270" s="222" t="s">
        <v>444</v>
      </c>
      <c r="C270" s="224" t="s">
        <v>443</v>
      </c>
      <c r="D270" s="223">
        <v>4.4287082166199818</v>
      </c>
      <c r="E270" s="222">
        <v>1.91</v>
      </c>
      <c r="F270" s="222"/>
    </row>
    <row r="271" spans="1:6" hidden="1"/>
    <row r="272" spans="1:6" hidden="1"/>
    <row r="273" spans="2:5" hidden="1">
      <c r="B273" s="221" t="s">
        <v>442</v>
      </c>
    </row>
    <row r="274" spans="2:5" hidden="1"/>
    <row r="275" spans="2:5" ht="13.5" hidden="1" thickBot="1">
      <c r="B275" s="220" t="s">
        <v>441</v>
      </c>
      <c r="C275" s="220" t="s">
        <v>440</v>
      </c>
      <c r="D275" s="219" t="s">
        <v>439</v>
      </c>
      <c r="E275" s="215" t="s">
        <v>438</v>
      </c>
    </row>
    <row r="276" spans="2:5" ht="13.5" hidden="1" thickTop="1">
      <c r="B276" s="215" t="s">
        <v>398</v>
      </c>
      <c r="C276" s="218" t="s">
        <v>57</v>
      </c>
      <c r="D276" s="218" t="s">
        <v>415</v>
      </c>
      <c r="E276" s="218" t="s">
        <v>408</v>
      </c>
    </row>
    <row r="277" spans="2:5" hidden="1">
      <c r="B277" s="215" t="s">
        <v>402</v>
      </c>
      <c r="C277" s="218" t="s">
        <v>56</v>
      </c>
      <c r="D277" s="218" t="s">
        <v>437</v>
      </c>
      <c r="E277" s="218" t="s">
        <v>408</v>
      </c>
    </row>
    <row r="278" spans="2:5" hidden="1">
      <c r="B278" s="215" t="s">
        <v>401</v>
      </c>
      <c r="C278" s="218" t="s">
        <v>56</v>
      </c>
      <c r="D278" s="218" t="s">
        <v>437</v>
      </c>
      <c r="E278" s="218" t="s">
        <v>408</v>
      </c>
    </row>
    <row r="279" spans="2:5" hidden="1">
      <c r="B279" s="215" t="s">
        <v>400</v>
      </c>
      <c r="C279" s="218" t="s">
        <v>58</v>
      </c>
      <c r="D279" s="218" t="s">
        <v>414</v>
      </c>
      <c r="E279" s="218" t="s">
        <v>413</v>
      </c>
    </row>
    <row r="280" spans="2:5" hidden="1">
      <c r="B280" s="215" t="s">
        <v>399</v>
      </c>
      <c r="C280" s="218" t="s">
        <v>6</v>
      </c>
      <c r="D280" s="218" t="s">
        <v>412</v>
      </c>
      <c r="E280" s="218" t="s">
        <v>408</v>
      </c>
    </row>
    <row r="281" spans="2:5" hidden="1">
      <c r="B281" s="215" t="s">
        <v>396</v>
      </c>
      <c r="C281" s="218" t="s">
        <v>6</v>
      </c>
      <c r="D281" s="218" t="s">
        <v>412</v>
      </c>
      <c r="E281" s="218" t="s">
        <v>408</v>
      </c>
    </row>
    <row r="282" spans="2:5" hidden="1">
      <c r="B282" s="215" t="s">
        <v>397</v>
      </c>
      <c r="C282" s="218" t="s">
        <v>57</v>
      </c>
      <c r="D282" s="218" t="s">
        <v>417</v>
      </c>
      <c r="E282" s="218" t="s">
        <v>408</v>
      </c>
    </row>
    <row r="283" spans="2:5" hidden="1">
      <c r="B283" s="215" t="s">
        <v>395</v>
      </c>
      <c r="C283" s="218" t="s">
        <v>6</v>
      </c>
      <c r="D283" s="218" t="s">
        <v>426</v>
      </c>
      <c r="E283" s="218" t="s">
        <v>408</v>
      </c>
    </row>
    <row r="284" spans="2:5" hidden="1">
      <c r="B284" s="215" t="s">
        <v>393</v>
      </c>
      <c r="C284" s="218" t="s">
        <v>58</v>
      </c>
      <c r="D284" s="218" t="s">
        <v>420</v>
      </c>
      <c r="E284" s="218" t="s">
        <v>413</v>
      </c>
    </row>
    <row r="285" spans="2:5" hidden="1">
      <c r="B285" s="215" t="s">
        <v>391</v>
      </c>
      <c r="C285" s="218" t="s">
        <v>6</v>
      </c>
      <c r="D285" s="218" t="s">
        <v>415</v>
      </c>
      <c r="E285" s="218" t="s">
        <v>408</v>
      </c>
    </row>
    <row r="286" spans="2:5" hidden="1">
      <c r="B286" s="215" t="s">
        <v>389</v>
      </c>
      <c r="C286" s="218" t="s">
        <v>58</v>
      </c>
      <c r="D286" s="218" t="s">
        <v>417</v>
      </c>
      <c r="E286" s="218" t="s">
        <v>408</v>
      </c>
    </row>
    <row r="287" spans="2:5" hidden="1">
      <c r="B287" s="215" t="s">
        <v>387</v>
      </c>
      <c r="C287" s="218" t="s">
        <v>6</v>
      </c>
      <c r="D287" s="218" t="s">
        <v>412</v>
      </c>
      <c r="E287" s="218" t="s">
        <v>408</v>
      </c>
    </row>
    <row r="288" spans="2:5" hidden="1">
      <c r="B288" s="215" t="s">
        <v>436</v>
      </c>
      <c r="C288" s="218" t="s">
        <v>58</v>
      </c>
      <c r="D288" s="218" t="s">
        <v>417</v>
      </c>
      <c r="E288" s="218" t="s">
        <v>408</v>
      </c>
    </row>
    <row r="289" spans="2:5" hidden="1">
      <c r="B289" s="215" t="s">
        <v>385</v>
      </c>
      <c r="C289" s="218" t="s">
        <v>57</v>
      </c>
      <c r="D289" s="218" t="s">
        <v>417</v>
      </c>
      <c r="E289" s="218" t="s">
        <v>408</v>
      </c>
    </row>
    <row r="290" spans="2:5" hidden="1">
      <c r="B290" s="215" t="s">
        <v>383</v>
      </c>
      <c r="C290" s="218" t="s">
        <v>58</v>
      </c>
      <c r="D290" s="218" t="s">
        <v>417</v>
      </c>
      <c r="E290" s="218" t="s">
        <v>408</v>
      </c>
    </row>
    <row r="291" spans="2:5" hidden="1">
      <c r="B291" s="215" t="s">
        <v>388</v>
      </c>
      <c r="C291" s="218" t="s">
        <v>57</v>
      </c>
      <c r="D291" s="218" t="s">
        <v>409</v>
      </c>
      <c r="E291" s="218" t="s">
        <v>408</v>
      </c>
    </row>
    <row r="292" spans="2:5" hidden="1">
      <c r="B292" s="215" t="s">
        <v>392</v>
      </c>
      <c r="C292" s="218" t="s">
        <v>57</v>
      </c>
      <c r="D292" s="218" t="s">
        <v>417</v>
      </c>
      <c r="E292" s="218" t="s">
        <v>408</v>
      </c>
    </row>
    <row r="293" spans="2:5" hidden="1">
      <c r="B293" s="215" t="s">
        <v>386</v>
      </c>
      <c r="C293" s="218" t="s">
        <v>58</v>
      </c>
      <c r="D293" s="218" t="s">
        <v>412</v>
      </c>
      <c r="E293" s="218" t="s">
        <v>408</v>
      </c>
    </row>
    <row r="294" spans="2:5" hidden="1">
      <c r="B294" s="215" t="s">
        <v>381</v>
      </c>
      <c r="C294" s="218" t="s">
        <v>57</v>
      </c>
      <c r="D294" s="218" t="s">
        <v>409</v>
      </c>
      <c r="E294" s="218" t="s">
        <v>408</v>
      </c>
    </row>
    <row r="295" spans="2:5" hidden="1">
      <c r="B295" s="215" t="s">
        <v>390</v>
      </c>
      <c r="C295" s="218" t="s">
        <v>58</v>
      </c>
      <c r="D295" s="218" t="s">
        <v>414</v>
      </c>
      <c r="E295" s="218" t="s">
        <v>413</v>
      </c>
    </row>
    <row r="296" spans="2:5" hidden="1">
      <c r="B296" s="215" t="s">
        <v>379</v>
      </c>
      <c r="C296" s="218" t="s">
        <v>58</v>
      </c>
      <c r="D296" s="218" t="s">
        <v>417</v>
      </c>
      <c r="E296" s="218" t="s">
        <v>408</v>
      </c>
    </row>
    <row r="297" spans="2:5" hidden="1">
      <c r="B297" s="215" t="s">
        <v>376</v>
      </c>
      <c r="C297" s="218" t="s">
        <v>58</v>
      </c>
      <c r="D297" s="218" t="s">
        <v>417</v>
      </c>
      <c r="E297" s="218" t="s">
        <v>408</v>
      </c>
    </row>
    <row r="298" spans="2:5" hidden="1">
      <c r="B298" s="215" t="s">
        <v>375</v>
      </c>
      <c r="C298" s="218" t="s">
        <v>57</v>
      </c>
      <c r="D298" s="218" t="s">
        <v>415</v>
      </c>
      <c r="E298" s="218" t="s">
        <v>408</v>
      </c>
    </row>
    <row r="299" spans="2:5" hidden="1">
      <c r="B299" s="215" t="s">
        <v>373</v>
      </c>
      <c r="C299" s="218" t="s">
        <v>58</v>
      </c>
      <c r="D299" s="218" t="s">
        <v>417</v>
      </c>
      <c r="E299" s="218" t="s">
        <v>408</v>
      </c>
    </row>
    <row r="300" spans="2:5" hidden="1">
      <c r="B300" s="215" t="s">
        <v>435</v>
      </c>
      <c r="C300" s="218" t="s">
        <v>58</v>
      </c>
      <c r="D300" s="218" t="s">
        <v>414</v>
      </c>
      <c r="E300" s="218" t="s">
        <v>413</v>
      </c>
    </row>
    <row r="301" spans="2:5" hidden="1">
      <c r="B301" s="215" t="s">
        <v>372</v>
      </c>
      <c r="C301" s="218" t="s">
        <v>58</v>
      </c>
      <c r="D301" s="218" t="s">
        <v>414</v>
      </c>
      <c r="E301" s="218" t="s">
        <v>413</v>
      </c>
    </row>
    <row r="302" spans="2:5" hidden="1">
      <c r="B302" s="215" t="s">
        <v>378</v>
      </c>
      <c r="C302" s="218" t="s">
        <v>6</v>
      </c>
      <c r="D302" s="218" t="s">
        <v>409</v>
      </c>
      <c r="E302" s="218" t="s">
        <v>408</v>
      </c>
    </row>
    <row r="303" spans="2:5" hidden="1">
      <c r="B303" s="215" t="s">
        <v>434</v>
      </c>
      <c r="C303" s="218" t="s">
        <v>57</v>
      </c>
      <c r="D303" s="218" t="s">
        <v>417</v>
      </c>
      <c r="E303" s="218" t="s">
        <v>408</v>
      </c>
    </row>
    <row r="304" spans="2:5" hidden="1">
      <c r="B304" s="215" t="s">
        <v>384</v>
      </c>
      <c r="C304" s="218" t="s">
        <v>57</v>
      </c>
      <c r="D304" s="218" t="s">
        <v>412</v>
      </c>
      <c r="E304" s="218" t="s">
        <v>408</v>
      </c>
    </row>
    <row r="305" spans="2:5" hidden="1">
      <c r="B305" s="215" t="s">
        <v>394</v>
      </c>
      <c r="C305" s="218" t="s">
        <v>6</v>
      </c>
      <c r="D305" s="218" t="s">
        <v>412</v>
      </c>
      <c r="E305" s="218" t="s">
        <v>408</v>
      </c>
    </row>
    <row r="306" spans="2:5" hidden="1">
      <c r="B306" s="215" t="s">
        <v>371</v>
      </c>
      <c r="C306" s="218" t="s">
        <v>56</v>
      </c>
      <c r="D306" s="218" t="s">
        <v>426</v>
      </c>
      <c r="E306" s="218" t="s">
        <v>408</v>
      </c>
    </row>
    <row r="307" spans="2:5" hidden="1">
      <c r="B307" s="215" t="s">
        <v>368</v>
      </c>
      <c r="C307" s="218" t="s">
        <v>6</v>
      </c>
      <c r="D307" s="218" t="s">
        <v>412</v>
      </c>
      <c r="E307" s="218" t="s">
        <v>408</v>
      </c>
    </row>
    <row r="308" spans="2:5" hidden="1">
      <c r="B308" s="215" t="s">
        <v>433</v>
      </c>
      <c r="C308" s="218" t="s">
        <v>57</v>
      </c>
      <c r="D308" s="218" t="s">
        <v>415</v>
      </c>
      <c r="E308" s="218" t="s">
        <v>408</v>
      </c>
    </row>
    <row r="309" spans="2:5" hidden="1">
      <c r="B309" s="215" t="s">
        <v>367</v>
      </c>
      <c r="C309" s="218" t="s">
        <v>58</v>
      </c>
      <c r="D309" s="218" t="s">
        <v>422</v>
      </c>
      <c r="E309" s="218" t="s">
        <v>410</v>
      </c>
    </row>
    <row r="310" spans="2:5" hidden="1">
      <c r="B310" s="215" t="s">
        <v>380</v>
      </c>
      <c r="C310" s="218" t="s">
        <v>6</v>
      </c>
      <c r="D310" s="218" t="s">
        <v>412</v>
      </c>
      <c r="E310" s="218" t="s">
        <v>408</v>
      </c>
    </row>
    <row r="311" spans="2:5" hidden="1">
      <c r="B311" s="215" t="s">
        <v>365</v>
      </c>
      <c r="C311" s="218" t="s">
        <v>6</v>
      </c>
      <c r="D311" s="218" t="s">
        <v>416</v>
      </c>
      <c r="E311" s="218" t="s">
        <v>408</v>
      </c>
    </row>
    <row r="312" spans="2:5" hidden="1">
      <c r="B312" s="215" t="s">
        <v>432</v>
      </c>
      <c r="C312" s="218" t="s">
        <v>57</v>
      </c>
      <c r="D312" s="218" t="s">
        <v>412</v>
      </c>
      <c r="E312" s="218" t="s">
        <v>408</v>
      </c>
    </row>
    <row r="313" spans="2:5" hidden="1">
      <c r="B313" s="215" t="s">
        <v>362</v>
      </c>
      <c r="C313" s="218" t="s">
        <v>6</v>
      </c>
      <c r="D313" s="218" t="s">
        <v>412</v>
      </c>
      <c r="E313" s="218" t="s">
        <v>408</v>
      </c>
    </row>
    <row r="314" spans="2:5" hidden="1">
      <c r="B314" s="215" t="s">
        <v>377</v>
      </c>
      <c r="C314" s="218" t="s">
        <v>6</v>
      </c>
      <c r="D314" s="218" t="s">
        <v>417</v>
      </c>
      <c r="E314" s="218" t="s">
        <v>408</v>
      </c>
    </row>
    <row r="315" spans="2:5" hidden="1">
      <c r="B315" s="215" t="s">
        <v>360</v>
      </c>
      <c r="C315" s="218" t="s">
        <v>6</v>
      </c>
      <c r="D315" s="218" t="s">
        <v>417</v>
      </c>
      <c r="E315" s="218" t="s">
        <v>408</v>
      </c>
    </row>
    <row r="316" spans="2:5" hidden="1">
      <c r="B316" s="215" t="s">
        <v>370</v>
      </c>
      <c r="C316" s="218" t="s">
        <v>6</v>
      </c>
      <c r="D316" s="218" t="s">
        <v>412</v>
      </c>
      <c r="E316" s="218" t="s">
        <v>408</v>
      </c>
    </row>
    <row r="317" spans="2:5" hidden="1">
      <c r="B317" s="215" t="s">
        <v>359</v>
      </c>
      <c r="C317" s="218" t="s">
        <v>57</v>
      </c>
      <c r="D317" s="218" t="s">
        <v>412</v>
      </c>
      <c r="E317" s="218" t="s">
        <v>408</v>
      </c>
    </row>
    <row r="318" spans="2:5" hidden="1">
      <c r="B318" s="215" t="s">
        <v>366</v>
      </c>
      <c r="C318" s="218" t="s">
        <v>57</v>
      </c>
      <c r="D318" s="218" t="s">
        <v>421</v>
      </c>
      <c r="E318" s="218" t="s">
        <v>408</v>
      </c>
    </row>
    <row r="319" spans="2:5" hidden="1">
      <c r="B319" s="215" t="s">
        <v>358</v>
      </c>
      <c r="C319" s="218" t="s">
        <v>57</v>
      </c>
      <c r="D319" s="218" t="s">
        <v>412</v>
      </c>
      <c r="E319" s="218" t="s">
        <v>408</v>
      </c>
    </row>
    <row r="320" spans="2:5" hidden="1">
      <c r="B320" s="215" t="s">
        <v>356</v>
      </c>
      <c r="C320" s="218" t="s">
        <v>57</v>
      </c>
      <c r="D320" s="218" t="s">
        <v>412</v>
      </c>
      <c r="E320" s="218" t="s">
        <v>408</v>
      </c>
    </row>
    <row r="321" spans="2:5" hidden="1">
      <c r="B321" s="215" t="s">
        <v>364</v>
      </c>
      <c r="C321" s="218" t="s">
        <v>58</v>
      </c>
      <c r="D321" s="218" t="s">
        <v>417</v>
      </c>
      <c r="E321" s="218" t="s">
        <v>408</v>
      </c>
    </row>
    <row r="322" spans="2:5" hidden="1">
      <c r="B322" s="215" t="s">
        <v>354</v>
      </c>
      <c r="C322" s="218" t="s">
        <v>57</v>
      </c>
      <c r="D322" s="218" t="s">
        <v>416</v>
      </c>
      <c r="E322" s="218" t="s">
        <v>408</v>
      </c>
    </row>
    <row r="323" spans="2:5" hidden="1">
      <c r="B323" s="215" t="s">
        <v>351</v>
      </c>
      <c r="C323" s="218" t="s">
        <v>58</v>
      </c>
      <c r="D323" s="218" t="s">
        <v>417</v>
      </c>
      <c r="E323" s="218" t="s">
        <v>408</v>
      </c>
    </row>
    <row r="324" spans="2:5" hidden="1">
      <c r="B324" s="215" t="s">
        <v>349</v>
      </c>
      <c r="C324" s="218" t="s">
        <v>57</v>
      </c>
      <c r="D324" s="218" t="s">
        <v>417</v>
      </c>
      <c r="E324" s="218" t="s">
        <v>408</v>
      </c>
    </row>
    <row r="325" spans="2:5" hidden="1">
      <c r="B325" s="215" t="s">
        <v>357</v>
      </c>
      <c r="C325" s="218" t="s">
        <v>57</v>
      </c>
      <c r="D325" s="218" t="s">
        <v>412</v>
      </c>
      <c r="E325" s="218" t="s">
        <v>408</v>
      </c>
    </row>
    <row r="326" spans="2:5" hidden="1">
      <c r="B326" s="215" t="s">
        <v>431</v>
      </c>
      <c r="C326" s="218" t="s">
        <v>6</v>
      </c>
      <c r="D326" s="218" t="s">
        <v>415</v>
      </c>
      <c r="E326" s="218" t="s">
        <v>408</v>
      </c>
    </row>
    <row r="327" spans="2:5" hidden="1">
      <c r="B327" s="215" t="s">
        <v>374</v>
      </c>
      <c r="C327" s="218" t="s">
        <v>57</v>
      </c>
      <c r="D327" s="218" t="s">
        <v>417</v>
      </c>
      <c r="E327" s="218" t="s">
        <v>408</v>
      </c>
    </row>
    <row r="328" spans="2:5" hidden="1">
      <c r="B328" s="215" t="s">
        <v>355</v>
      </c>
      <c r="C328" s="218" t="s">
        <v>58</v>
      </c>
      <c r="D328" s="218" t="s">
        <v>417</v>
      </c>
      <c r="E328" s="218" t="s">
        <v>408</v>
      </c>
    </row>
    <row r="329" spans="2:5" hidden="1">
      <c r="B329" s="215" t="s">
        <v>352</v>
      </c>
      <c r="C329" s="218" t="s">
        <v>57</v>
      </c>
      <c r="D329" s="218" t="s">
        <v>409</v>
      </c>
      <c r="E329" s="218" t="s">
        <v>408</v>
      </c>
    </row>
    <row r="330" spans="2:5" hidden="1">
      <c r="B330" s="215" t="s">
        <v>347</v>
      </c>
      <c r="C330" s="218" t="s">
        <v>57</v>
      </c>
      <c r="D330" s="218" t="s">
        <v>409</v>
      </c>
      <c r="E330" s="218" t="s">
        <v>408</v>
      </c>
    </row>
    <row r="331" spans="2:5" hidden="1">
      <c r="B331" s="215" t="s">
        <v>348</v>
      </c>
      <c r="C331" s="218" t="s">
        <v>57</v>
      </c>
      <c r="D331" s="218" t="s">
        <v>417</v>
      </c>
      <c r="E331" s="218" t="s">
        <v>408</v>
      </c>
    </row>
    <row r="332" spans="2:5" hidden="1">
      <c r="B332" s="215" t="s">
        <v>346</v>
      </c>
      <c r="C332" s="218" t="s">
        <v>58</v>
      </c>
      <c r="D332" s="218" t="s">
        <v>415</v>
      </c>
      <c r="E332" s="218" t="s">
        <v>408</v>
      </c>
    </row>
    <row r="333" spans="2:5" hidden="1">
      <c r="B333" s="215" t="s">
        <v>369</v>
      </c>
      <c r="C333" s="218" t="s">
        <v>57</v>
      </c>
      <c r="D333" s="218" t="s">
        <v>417</v>
      </c>
      <c r="E333" s="218" t="s">
        <v>408</v>
      </c>
    </row>
    <row r="334" spans="2:5" hidden="1">
      <c r="B334" s="215" t="s">
        <v>343</v>
      </c>
      <c r="C334" s="218" t="s">
        <v>56</v>
      </c>
      <c r="D334" s="218" t="s">
        <v>412</v>
      </c>
      <c r="E334" s="218" t="s">
        <v>408</v>
      </c>
    </row>
    <row r="335" spans="2:5" hidden="1">
      <c r="B335" s="215" t="s">
        <v>342</v>
      </c>
      <c r="C335" s="218" t="s">
        <v>6</v>
      </c>
      <c r="D335" s="218" t="s">
        <v>417</v>
      </c>
      <c r="E335" s="218" t="s">
        <v>408</v>
      </c>
    </row>
    <row r="336" spans="2:5" hidden="1">
      <c r="B336" s="215" t="s">
        <v>345</v>
      </c>
      <c r="C336" s="218" t="s">
        <v>6</v>
      </c>
      <c r="D336" s="218" t="s">
        <v>417</v>
      </c>
      <c r="E336" s="218" t="s">
        <v>408</v>
      </c>
    </row>
    <row r="337" spans="2:5" hidden="1">
      <c r="B337" s="215" t="s">
        <v>340</v>
      </c>
      <c r="C337" s="218" t="s">
        <v>6</v>
      </c>
      <c r="D337" s="218" t="s">
        <v>417</v>
      </c>
      <c r="E337" s="218" t="s">
        <v>408</v>
      </c>
    </row>
    <row r="338" spans="2:5" hidden="1">
      <c r="B338" s="215" t="s">
        <v>341</v>
      </c>
      <c r="C338" s="218" t="s">
        <v>6</v>
      </c>
      <c r="D338" s="218" t="s">
        <v>412</v>
      </c>
      <c r="E338" s="218" t="s">
        <v>408</v>
      </c>
    </row>
    <row r="339" spans="2:5" hidden="1">
      <c r="B339" s="215" t="s">
        <v>339</v>
      </c>
      <c r="C339" s="218" t="s">
        <v>56</v>
      </c>
      <c r="D339" s="218" t="s">
        <v>416</v>
      </c>
      <c r="E339" s="218" t="s">
        <v>408</v>
      </c>
    </row>
    <row r="340" spans="2:5" hidden="1">
      <c r="B340" s="215" t="s">
        <v>338</v>
      </c>
      <c r="C340" s="218" t="s">
        <v>57</v>
      </c>
      <c r="D340" s="218" t="s">
        <v>412</v>
      </c>
      <c r="E340" s="218" t="s">
        <v>408</v>
      </c>
    </row>
    <row r="341" spans="2:5" hidden="1">
      <c r="B341" s="215" t="s">
        <v>363</v>
      </c>
      <c r="C341" s="218" t="s">
        <v>6</v>
      </c>
      <c r="D341" s="218" t="s">
        <v>417</v>
      </c>
      <c r="E341" s="218" t="s">
        <v>408</v>
      </c>
    </row>
    <row r="342" spans="2:5" hidden="1">
      <c r="B342" s="215" t="s">
        <v>337</v>
      </c>
      <c r="C342" s="218" t="s">
        <v>58</v>
      </c>
      <c r="D342" s="218" t="s">
        <v>412</v>
      </c>
      <c r="E342" s="218" t="s">
        <v>408</v>
      </c>
    </row>
    <row r="343" spans="2:5" hidden="1">
      <c r="B343" s="215" t="s">
        <v>334</v>
      </c>
      <c r="C343" s="218" t="s">
        <v>6</v>
      </c>
      <c r="D343" s="218" t="s">
        <v>412</v>
      </c>
      <c r="E343" s="218" t="s">
        <v>408</v>
      </c>
    </row>
    <row r="344" spans="2:5" hidden="1">
      <c r="B344" s="215" t="s">
        <v>332</v>
      </c>
      <c r="C344" s="218" t="s">
        <v>58</v>
      </c>
      <c r="D344" s="218" t="s">
        <v>417</v>
      </c>
      <c r="E344" s="218" t="s">
        <v>408</v>
      </c>
    </row>
    <row r="345" spans="2:5" hidden="1">
      <c r="B345" s="215" t="s">
        <v>430</v>
      </c>
      <c r="C345" s="218" t="s">
        <v>57</v>
      </c>
      <c r="D345" s="218" t="s">
        <v>416</v>
      </c>
      <c r="E345" s="218" t="s">
        <v>408</v>
      </c>
    </row>
    <row r="346" spans="2:5" hidden="1">
      <c r="B346" s="215" t="s">
        <v>335</v>
      </c>
      <c r="C346" s="218" t="s">
        <v>56</v>
      </c>
      <c r="D346" s="218" t="s">
        <v>412</v>
      </c>
      <c r="E346" s="218" t="s">
        <v>408</v>
      </c>
    </row>
    <row r="347" spans="2:5" hidden="1">
      <c r="B347" s="215" t="s">
        <v>333</v>
      </c>
      <c r="C347" s="218" t="s">
        <v>57</v>
      </c>
      <c r="D347" s="218" t="s">
        <v>417</v>
      </c>
      <c r="E347" s="218" t="s">
        <v>408</v>
      </c>
    </row>
    <row r="348" spans="2:5" hidden="1">
      <c r="B348" s="215" t="s">
        <v>330</v>
      </c>
      <c r="C348" s="218" t="s">
        <v>58</v>
      </c>
      <c r="D348" s="218" t="s">
        <v>409</v>
      </c>
      <c r="E348" s="218" t="s">
        <v>408</v>
      </c>
    </row>
    <row r="349" spans="2:5" hidden="1">
      <c r="B349" s="215" t="s">
        <v>329</v>
      </c>
      <c r="C349" s="218" t="s">
        <v>58</v>
      </c>
      <c r="D349" s="218" t="s">
        <v>411</v>
      </c>
      <c r="E349" s="218" t="s">
        <v>410</v>
      </c>
    </row>
    <row r="350" spans="2:5" hidden="1">
      <c r="B350" s="215" t="s">
        <v>361</v>
      </c>
      <c r="C350" s="218" t="s">
        <v>58</v>
      </c>
      <c r="D350" s="218" t="s">
        <v>417</v>
      </c>
      <c r="E350" s="218" t="s">
        <v>408</v>
      </c>
    </row>
    <row r="351" spans="2:5" hidden="1">
      <c r="B351" s="215" t="s">
        <v>328</v>
      </c>
      <c r="C351" s="218" t="s">
        <v>57</v>
      </c>
      <c r="D351" s="218" t="s">
        <v>417</v>
      </c>
      <c r="E351" s="218" t="s">
        <v>408</v>
      </c>
    </row>
    <row r="352" spans="2:5" hidden="1">
      <c r="B352" s="215" t="s">
        <v>326</v>
      </c>
      <c r="C352" s="218" t="s">
        <v>57</v>
      </c>
      <c r="D352" s="218" t="s">
        <v>417</v>
      </c>
      <c r="E352" s="218" t="s">
        <v>408</v>
      </c>
    </row>
    <row r="353" spans="2:5" hidden="1">
      <c r="B353" s="215" t="s">
        <v>324</v>
      </c>
      <c r="C353" s="218" t="s">
        <v>58</v>
      </c>
      <c r="D353" s="218" t="s">
        <v>414</v>
      </c>
      <c r="E353" s="218" t="s">
        <v>413</v>
      </c>
    </row>
    <row r="354" spans="2:5" hidden="1">
      <c r="B354" s="215" t="s">
        <v>322</v>
      </c>
      <c r="C354" s="218" t="s">
        <v>58</v>
      </c>
      <c r="D354" s="218" t="s">
        <v>411</v>
      </c>
      <c r="E354" s="218" t="s">
        <v>410</v>
      </c>
    </row>
    <row r="355" spans="2:5" hidden="1">
      <c r="B355" s="215" t="s">
        <v>320</v>
      </c>
      <c r="C355" s="218" t="s">
        <v>58</v>
      </c>
      <c r="D355" s="218" t="s">
        <v>417</v>
      </c>
      <c r="E355" s="218" t="s">
        <v>408</v>
      </c>
    </row>
    <row r="356" spans="2:5" hidden="1">
      <c r="B356" s="215" t="s">
        <v>325</v>
      </c>
      <c r="C356" s="218" t="s">
        <v>57</v>
      </c>
      <c r="D356" s="218" t="s">
        <v>409</v>
      </c>
      <c r="E356" s="218" t="s">
        <v>408</v>
      </c>
    </row>
    <row r="357" spans="2:5" hidden="1">
      <c r="B357" s="215" t="s">
        <v>429</v>
      </c>
      <c r="C357" s="218" t="s">
        <v>6</v>
      </c>
      <c r="D357" s="218" t="s">
        <v>415</v>
      </c>
      <c r="E357" s="218" t="s">
        <v>408</v>
      </c>
    </row>
    <row r="358" spans="2:5" hidden="1">
      <c r="B358" s="215" t="s">
        <v>350</v>
      </c>
      <c r="C358" s="218" t="s">
        <v>58</v>
      </c>
      <c r="D358" s="218" t="s">
        <v>424</v>
      </c>
      <c r="E358" s="218" t="s">
        <v>413</v>
      </c>
    </row>
    <row r="359" spans="2:5" hidden="1">
      <c r="B359" s="215" t="s">
        <v>319</v>
      </c>
      <c r="C359" s="218" t="s">
        <v>58</v>
      </c>
      <c r="D359" s="218" t="s">
        <v>412</v>
      </c>
      <c r="E359" s="218" t="s">
        <v>408</v>
      </c>
    </row>
    <row r="360" spans="2:5" hidden="1">
      <c r="B360" s="215" t="s">
        <v>318</v>
      </c>
      <c r="C360" s="218" t="s">
        <v>57</v>
      </c>
      <c r="D360" s="218" t="s">
        <v>412</v>
      </c>
      <c r="E360" s="218" t="s">
        <v>408</v>
      </c>
    </row>
    <row r="361" spans="2:5" hidden="1">
      <c r="B361" s="215" t="s">
        <v>316</v>
      </c>
      <c r="C361" s="218" t="s">
        <v>58</v>
      </c>
      <c r="D361" s="218" t="s">
        <v>417</v>
      </c>
      <c r="E361" s="218" t="s">
        <v>408</v>
      </c>
    </row>
    <row r="362" spans="2:5" hidden="1">
      <c r="B362" s="215" t="s">
        <v>353</v>
      </c>
      <c r="C362" s="218" t="s">
        <v>6</v>
      </c>
      <c r="D362" s="218" t="s">
        <v>412</v>
      </c>
      <c r="E362" s="218" t="s">
        <v>408</v>
      </c>
    </row>
    <row r="363" spans="2:5" hidden="1">
      <c r="B363" s="215" t="s">
        <v>313</v>
      </c>
      <c r="C363" s="218" t="s">
        <v>57</v>
      </c>
      <c r="D363" s="218" t="s">
        <v>417</v>
      </c>
      <c r="E363" s="218" t="s">
        <v>408</v>
      </c>
    </row>
    <row r="364" spans="2:5" hidden="1">
      <c r="B364" s="215" t="s">
        <v>428</v>
      </c>
      <c r="C364" s="218" t="s">
        <v>6</v>
      </c>
      <c r="D364" s="218" t="s">
        <v>412</v>
      </c>
      <c r="E364" s="218" t="s">
        <v>408</v>
      </c>
    </row>
    <row r="365" spans="2:5" hidden="1">
      <c r="B365" s="215" t="s">
        <v>310</v>
      </c>
      <c r="C365" s="218" t="s">
        <v>58</v>
      </c>
      <c r="D365" s="218" t="s">
        <v>417</v>
      </c>
      <c r="E365" s="218" t="s">
        <v>408</v>
      </c>
    </row>
    <row r="366" spans="2:5" hidden="1">
      <c r="B366" s="215" t="s">
        <v>344</v>
      </c>
      <c r="C366" s="218" t="s">
        <v>58</v>
      </c>
      <c r="D366" s="218" t="s">
        <v>414</v>
      </c>
      <c r="E366" s="218" t="s">
        <v>413</v>
      </c>
    </row>
    <row r="367" spans="2:5" hidden="1">
      <c r="B367" s="215" t="s">
        <v>308</v>
      </c>
      <c r="C367" s="218" t="s">
        <v>57</v>
      </c>
      <c r="D367" s="218" t="s">
        <v>412</v>
      </c>
      <c r="E367" s="218" t="s">
        <v>408</v>
      </c>
    </row>
    <row r="368" spans="2:5" hidden="1">
      <c r="B368" s="215" t="s">
        <v>306</v>
      </c>
      <c r="C368" s="218" t="s">
        <v>57</v>
      </c>
      <c r="D368" s="218" t="s">
        <v>417</v>
      </c>
      <c r="E368" s="218" t="s">
        <v>408</v>
      </c>
    </row>
    <row r="369" spans="2:5" hidden="1">
      <c r="B369" s="215" t="s">
        <v>427</v>
      </c>
      <c r="C369" s="218" t="s">
        <v>58</v>
      </c>
      <c r="D369" s="218" t="s">
        <v>417</v>
      </c>
      <c r="E369" s="218" t="s">
        <v>408</v>
      </c>
    </row>
    <row r="370" spans="2:5" hidden="1">
      <c r="B370" s="215" t="s">
        <v>317</v>
      </c>
      <c r="C370" s="218" t="s">
        <v>57</v>
      </c>
      <c r="D370" s="218" t="s">
        <v>412</v>
      </c>
      <c r="E370" s="218" t="s">
        <v>408</v>
      </c>
    </row>
    <row r="371" spans="2:5" hidden="1">
      <c r="B371" s="215" t="s">
        <v>382</v>
      </c>
      <c r="C371" s="218" t="s">
        <v>56</v>
      </c>
      <c r="D371" s="218" t="s">
        <v>412</v>
      </c>
      <c r="E371" s="218" t="s">
        <v>408</v>
      </c>
    </row>
    <row r="372" spans="2:5" hidden="1">
      <c r="B372" s="215" t="s">
        <v>304</v>
      </c>
      <c r="C372" s="218" t="s">
        <v>6</v>
      </c>
      <c r="D372" s="218" t="s">
        <v>409</v>
      </c>
      <c r="E372" s="218" t="s">
        <v>408</v>
      </c>
    </row>
    <row r="373" spans="2:5" hidden="1">
      <c r="B373" s="215" t="s">
        <v>315</v>
      </c>
      <c r="C373" s="218" t="s">
        <v>56</v>
      </c>
      <c r="D373" s="218" t="s">
        <v>426</v>
      </c>
      <c r="E373" s="218" t="s">
        <v>408</v>
      </c>
    </row>
    <row r="374" spans="2:5" hidden="1">
      <c r="B374" s="215" t="s">
        <v>301</v>
      </c>
      <c r="C374" s="218" t="s">
        <v>6</v>
      </c>
      <c r="D374" s="218" t="s">
        <v>412</v>
      </c>
      <c r="E374" s="218" t="s">
        <v>408</v>
      </c>
    </row>
    <row r="375" spans="2:5" hidden="1">
      <c r="B375" s="215" t="s">
        <v>425</v>
      </c>
      <c r="C375" s="218" t="s">
        <v>57</v>
      </c>
      <c r="D375" s="218" t="s">
        <v>409</v>
      </c>
      <c r="E375" s="218" t="s">
        <v>408</v>
      </c>
    </row>
    <row r="376" spans="2:5" hidden="1">
      <c r="B376" s="215" t="s">
        <v>312</v>
      </c>
      <c r="C376" s="218" t="s">
        <v>58</v>
      </c>
      <c r="D376" s="218" t="s">
        <v>424</v>
      </c>
      <c r="E376" s="218" t="s">
        <v>413</v>
      </c>
    </row>
    <row r="377" spans="2:5" hidden="1">
      <c r="B377" s="215" t="s">
        <v>297</v>
      </c>
      <c r="C377" s="218" t="s">
        <v>57</v>
      </c>
      <c r="D377" s="218" t="s">
        <v>412</v>
      </c>
      <c r="E377" s="218" t="s">
        <v>408</v>
      </c>
    </row>
    <row r="378" spans="2:5" hidden="1">
      <c r="B378" s="215" t="s">
        <v>309</v>
      </c>
      <c r="C378" s="218" t="s">
        <v>58</v>
      </c>
      <c r="D378" s="218" t="s">
        <v>417</v>
      </c>
      <c r="E378" s="218" t="s">
        <v>408</v>
      </c>
    </row>
    <row r="379" spans="2:5" hidden="1">
      <c r="B379" s="215" t="s">
        <v>423</v>
      </c>
      <c r="C379" s="218" t="s">
        <v>57</v>
      </c>
      <c r="D379" s="218" t="s">
        <v>416</v>
      </c>
      <c r="E379" s="218" t="s">
        <v>408</v>
      </c>
    </row>
    <row r="380" spans="2:5" hidden="1">
      <c r="B380" s="215" t="s">
        <v>307</v>
      </c>
      <c r="C380" s="218" t="s">
        <v>58</v>
      </c>
      <c r="D380" s="218" t="s">
        <v>417</v>
      </c>
      <c r="E380" s="218" t="s">
        <v>408</v>
      </c>
    </row>
    <row r="381" spans="2:5" hidden="1">
      <c r="B381" s="215" t="s">
        <v>294</v>
      </c>
      <c r="C381" s="218" t="s">
        <v>6</v>
      </c>
      <c r="D381" s="218" t="s">
        <v>417</v>
      </c>
      <c r="E381" s="218" t="s">
        <v>408</v>
      </c>
    </row>
    <row r="382" spans="2:5" hidden="1">
      <c r="B382" s="215" t="s">
        <v>336</v>
      </c>
      <c r="C382" s="218" t="s">
        <v>6</v>
      </c>
      <c r="D382" s="218" t="s">
        <v>417</v>
      </c>
      <c r="E382" s="218" t="s">
        <v>408</v>
      </c>
    </row>
    <row r="383" spans="2:5" hidden="1">
      <c r="B383" s="215" t="s">
        <v>292</v>
      </c>
      <c r="C383" s="218" t="s">
        <v>6</v>
      </c>
      <c r="D383" s="218" t="s">
        <v>412</v>
      </c>
      <c r="E383" s="218" t="s">
        <v>408</v>
      </c>
    </row>
    <row r="384" spans="2:5" hidden="1">
      <c r="B384" s="215" t="s">
        <v>291</v>
      </c>
      <c r="C384" s="218" t="s">
        <v>6</v>
      </c>
      <c r="D384" s="218" t="s">
        <v>412</v>
      </c>
      <c r="E384" s="218" t="s">
        <v>408</v>
      </c>
    </row>
    <row r="385" spans="2:5" hidden="1">
      <c r="B385" s="215" t="s">
        <v>303</v>
      </c>
      <c r="C385" s="218" t="s">
        <v>6</v>
      </c>
      <c r="D385" s="218" t="s">
        <v>412</v>
      </c>
      <c r="E385" s="218" t="s">
        <v>408</v>
      </c>
    </row>
    <row r="386" spans="2:5" hidden="1">
      <c r="B386" s="215" t="s">
        <v>299</v>
      </c>
      <c r="C386" s="218" t="s">
        <v>6</v>
      </c>
      <c r="D386" s="218" t="s">
        <v>412</v>
      </c>
      <c r="E386" s="218" t="s">
        <v>408</v>
      </c>
    </row>
    <row r="387" spans="2:5" hidden="1">
      <c r="B387" s="215" t="s">
        <v>295</v>
      </c>
      <c r="C387" s="218" t="s">
        <v>57</v>
      </c>
      <c r="D387" s="218" t="s">
        <v>417</v>
      </c>
      <c r="E387" s="218" t="s">
        <v>408</v>
      </c>
    </row>
    <row r="388" spans="2:5" hidden="1">
      <c r="B388" s="215" t="s">
        <v>293</v>
      </c>
      <c r="C388" s="218" t="s">
        <v>58</v>
      </c>
      <c r="D388" s="218" t="s">
        <v>422</v>
      </c>
      <c r="E388" s="218" t="s">
        <v>410</v>
      </c>
    </row>
    <row r="389" spans="2:5" hidden="1">
      <c r="B389" s="215" t="s">
        <v>289</v>
      </c>
      <c r="C389" s="218" t="s">
        <v>6</v>
      </c>
      <c r="D389" s="218" t="s">
        <v>417</v>
      </c>
      <c r="E389" s="218" t="s">
        <v>408</v>
      </c>
    </row>
    <row r="390" spans="2:5" hidden="1">
      <c r="B390" s="215" t="s">
        <v>286</v>
      </c>
      <c r="C390" s="218" t="s">
        <v>57</v>
      </c>
      <c r="D390" s="218" t="s">
        <v>412</v>
      </c>
      <c r="E390" s="218" t="s">
        <v>408</v>
      </c>
    </row>
    <row r="391" spans="2:5" hidden="1">
      <c r="B391" s="215" t="s">
        <v>283</v>
      </c>
      <c r="C391" s="218" t="s">
        <v>58</v>
      </c>
      <c r="D391" s="218" t="s">
        <v>414</v>
      </c>
      <c r="E391" s="218" t="s">
        <v>413</v>
      </c>
    </row>
    <row r="392" spans="2:5" hidden="1">
      <c r="B392" s="215" t="s">
        <v>280</v>
      </c>
      <c r="C392" s="218" t="s">
        <v>57</v>
      </c>
      <c r="D392" s="218" t="s">
        <v>412</v>
      </c>
      <c r="E392" s="218" t="s">
        <v>408</v>
      </c>
    </row>
    <row r="393" spans="2:5" hidden="1">
      <c r="B393" s="215" t="s">
        <v>279</v>
      </c>
      <c r="C393" s="218" t="s">
        <v>58</v>
      </c>
      <c r="D393" s="218" t="s">
        <v>414</v>
      </c>
      <c r="E393" s="218" t="s">
        <v>413</v>
      </c>
    </row>
    <row r="394" spans="2:5" hidden="1">
      <c r="B394" s="215" t="s">
        <v>277</v>
      </c>
      <c r="C394" s="218" t="s">
        <v>6</v>
      </c>
      <c r="D394" s="218" t="s">
        <v>412</v>
      </c>
      <c r="E394" s="218" t="s">
        <v>408</v>
      </c>
    </row>
    <row r="395" spans="2:5" hidden="1">
      <c r="B395" s="215" t="s">
        <v>275</v>
      </c>
      <c r="C395" s="218" t="s">
        <v>57</v>
      </c>
      <c r="D395" s="218" t="s">
        <v>409</v>
      </c>
      <c r="E395" s="218" t="s">
        <v>408</v>
      </c>
    </row>
    <row r="396" spans="2:5" hidden="1">
      <c r="B396" s="215" t="s">
        <v>288</v>
      </c>
      <c r="C396" s="218" t="s">
        <v>6</v>
      </c>
      <c r="D396" s="218" t="s">
        <v>412</v>
      </c>
      <c r="E396" s="218" t="s">
        <v>408</v>
      </c>
    </row>
    <row r="397" spans="2:5" hidden="1">
      <c r="B397" s="215" t="s">
        <v>284</v>
      </c>
      <c r="C397" s="218" t="s">
        <v>6</v>
      </c>
      <c r="D397" s="218" t="s">
        <v>412</v>
      </c>
      <c r="E397" s="218" t="s">
        <v>408</v>
      </c>
    </row>
    <row r="398" spans="2:5" hidden="1">
      <c r="B398" s="215" t="s">
        <v>323</v>
      </c>
      <c r="C398" s="218" t="s">
        <v>56</v>
      </c>
      <c r="D398" s="218" t="s">
        <v>416</v>
      </c>
      <c r="E398" s="218" t="s">
        <v>408</v>
      </c>
    </row>
    <row r="399" spans="2:5" hidden="1">
      <c r="B399" s="215" t="s">
        <v>321</v>
      </c>
      <c r="C399" s="218" t="s">
        <v>58</v>
      </c>
      <c r="D399" s="218" t="s">
        <v>414</v>
      </c>
      <c r="E399" s="218" t="s">
        <v>413</v>
      </c>
    </row>
    <row r="400" spans="2:5" hidden="1">
      <c r="B400" s="215" t="s">
        <v>273</v>
      </c>
      <c r="C400" s="218" t="s">
        <v>6</v>
      </c>
      <c r="D400" s="218" t="s">
        <v>412</v>
      </c>
      <c r="E400" s="218" t="s">
        <v>408</v>
      </c>
    </row>
    <row r="401" spans="2:5" hidden="1">
      <c r="B401" s="215" t="s">
        <v>331</v>
      </c>
      <c r="C401" s="218" t="s">
        <v>57</v>
      </c>
      <c r="D401" s="218" t="s">
        <v>417</v>
      </c>
      <c r="E401" s="218" t="s">
        <v>408</v>
      </c>
    </row>
    <row r="402" spans="2:5" hidden="1">
      <c r="B402" s="215" t="s">
        <v>271</v>
      </c>
      <c r="C402" s="218" t="s">
        <v>56</v>
      </c>
      <c r="D402" s="218" t="s">
        <v>421</v>
      </c>
      <c r="E402" s="218" t="s">
        <v>408</v>
      </c>
    </row>
    <row r="403" spans="2:5" hidden="1">
      <c r="B403" s="215" t="s">
        <v>269</v>
      </c>
      <c r="C403" s="218" t="s">
        <v>57</v>
      </c>
      <c r="D403" s="218" t="s">
        <v>415</v>
      </c>
      <c r="E403" s="218" t="s">
        <v>408</v>
      </c>
    </row>
    <row r="404" spans="2:5" hidden="1">
      <c r="B404" s="215" t="s">
        <v>266</v>
      </c>
      <c r="C404" s="218" t="s">
        <v>57</v>
      </c>
      <c r="D404" s="218" t="s">
        <v>417</v>
      </c>
      <c r="E404" s="218" t="s">
        <v>408</v>
      </c>
    </row>
    <row r="405" spans="2:5" hidden="1">
      <c r="B405" s="215" t="s">
        <v>265</v>
      </c>
      <c r="C405" s="218" t="s">
        <v>57</v>
      </c>
      <c r="D405" s="218" t="s">
        <v>417</v>
      </c>
      <c r="E405" s="218" t="s">
        <v>408</v>
      </c>
    </row>
    <row r="406" spans="2:5" hidden="1">
      <c r="B406" s="215" t="s">
        <v>262</v>
      </c>
      <c r="C406" s="218" t="s">
        <v>58</v>
      </c>
      <c r="D406" s="218" t="s">
        <v>420</v>
      </c>
      <c r="E406" s="218" t="s">
        <v>413</v>
      </c>
    </row>
    <row r="407" spans="2:5" hidden="1">
      <c r="B407" s="215" t="s">
        <v>327</v>
      </c>
      <c r="C407" s="218" t="s">
        <v>58</v>
      </c>
      <c r="D407" s="218" t="s">
        <v>414</v>
      </c>
      <c r="E407" s="218" t="s">
        <v>413</v>
      </c>
    </row>
    <row r="408" spans="2:5" hidden="1">
      <c r="B408" s="215" t="s">
        <v>260</v>
      </c>
      <c r="C408" s="218" t="s">
        <v>57</v>
      </c>
      <c r="D408" s="218" t="s">
        <v>412</v>
      </c>
      <c r="E408" s="218" t="s">
        <v>408</v>
      </c>
    </row>
    <row r="409" spans="2:5" hidden="1">
      <c r="B409" s="215" t="s">
        <v>419</v>
      </c>
      <c r="C409" s="218" t="s">
        <v>57</v>
      </c>
      <c r="D409" s="218" t="s">
        <v>417</v>
      </c>
      <c r="E409" s="218" t="s">
        <v>408</v>
      </c>
    </row>
    <row r="410" spans="2:5" hidden="1">
      <c r="B410" s="215" t="s">
        <v>278</v>
      </c>
      <c r="C410" s="218" t="s">
        <v>57</v>
      </c>
      <c r="D410" s="218" t="s">
        <v>412</v>
      </c>
      <c r="E410" s="218" t="s">
        <v>408</v>
      </c>
    </row>
    <row r="411" spans="2:5" hidden="1">
      <c r="B411" s="215" t="s">
        <v>276</v>
      </c>
      <c r="C411" s="218" t="s">
        <v>57</v>
      </c>
      <c r="D411" s="218" t="s">
        <v>412</v>
      </c>
      <c r="E411" s="218" t="s">
        <v>408</v>
      </c>
    </row>
    <row r="412" spans="2:5" hidden="1">
      <c r="B412" s="215" t="s">
        <v>259</v>
      </c>
      <c r="C412" s="218" t="s">
        <v>58</v>
      </c>
      <c r="D412" s="218" t="s">
        <v>417</v>
      </c>
      <c r="E412" s="218" t="s">
        <v>408</v>
      </c>
    </row>
    <row r="413" spans="2:5" hidden="1">
      <c r="B413" s="215" t="s">
        <v>274</v>
      </c>
      <c r="C413" s="218" t="s">
        <v>6</v>
      </c>
      <c r="D413" s="218" t="s">
        <v>415</v>
      </c>
      <c r="E413" s="218" t="s">
        <v>408</v>
      </c>
    </row>
    <row r="414" spans="2:5" hidden="1">
      <c r="B414" s="215" t="s">
        <v>272</v>
      </c>
      <c r="C414" s="218" t="s">
        <v>57</v>
      </c>
      <c r="D414" s="218" t="s">
        <v>415</v>
      </c>
      <c r="E414" s="218" t="s">
        <v>408</v>
      </c>
    </row>
    <row r="415" spans="2:5" hidden="1">
      <c r="B415" s="215" t="s">
        <v>270</v>
      </c>
      <c r="C415" s="218" t="s">
        <v>58</v>
      </c>
      <c r="D415" s="218" t="s">
        <v>417</v>
      </c>
      <c r="E415" s="218" t="s">
        <v>408</v>
      </c>
    </row>
    <row r="416" spans="2:5" hidden="1">
      <c r="B416" s="215" t="s">
        <v>267</v>
      </c>
      <c r="C416" s="218" t="s">
        <v>58</v>
      </c>
      <c r="D416" s="218" t="s">
        <v>417</v>
      </c>
      <c r="E416" s="218" t="s">
        <v>408</v>
      </c>
    </row>
    <row r="417" spans="2:5" hidden="1">
      <c r="B417" s="215" t="s">
        <v>257</v>
      </c>
      <c r="C417" s="218" t="s">
        <v>58</v>
      </c>
      <c r="D417" s="218" t="s">
        <v>412</v>
      </c>
      <c r="E417" s="218" t="s">
        <v>408</v>
      </c>
    </row>
    <row r="418" spans="2:5" hidden="1">
      <c r="B418" s="215" t="s">
        <v>314</v>
      </c>
      <c r="C418" s="218" t="s">
        <v>58</v>
      </c>
      <c r="D418" s="218" t="s">
        <v>414</v>
      </c>
      <c r="E418" s="218" t="s">
        <v>413</v>
      </c>
    </row>
    <row r="419" spans="2:5" hidden="1">
      <c r="B419" s="215" t="s">
        <v>255</v>
      </c>
      <c r="C419" s="218" t="s">
        <v>6</v>
      </c>
      <c r="D419" s="218" t="s">
        <v>412</v>
      </c>
      <c r="E419" s="218" t="s">
        <v>408</v>
      </c>
    </row>
    <row r="420" spans="2:5" hidden="1">
      <c r="B420" s="215" t="s">
        <v>300</v>
      </c>
      <c r="C420" s="218" t="s">
        <v>57</v>
      </c>
      <c r="D420" s="218" t="s">
        <v>412</v>
      </c>
      <c r="E420" s="218" t="s">
        <v>408</v>
      </c>
    </row>
    <row r="421" spans="2:5" hidden="1">
      <c r="B421" s="215" t="s">
        <v>311</v>
      </c>
      <c r="C421" s="218" t="s">
        <v>57</v>
      </c>
      <c r="D421" s="218" t="s">
        <v>417</v>
      </c>
      <c r="E421" s="218" t="s">
        <v>408</v>
      </c>
    </row>
    <row r="422" spans="2:5" hidden="1">
      <c r="B422" s="215" t="s">
        <v>296</v>
      </c>
      <c r="C422" s="218" t="s">
        <v>57</v>
      </c>
      <c r="D422" s="218" t="s">
        <v>412</v>
      </c>
      <c r="E422" s="218" t="s">
        <v>408</v>
      </c>
    </row>
    <row r="423" spans="2:5" hidden="1">
      <c r="B423" s="215" t="s">
        <v>263</v>
      </c>
      <c r="C423" s="218" t="s">
        <v>6</v>
      </c>
      <c r="D423" s="218" t="s">
        <v>409</v>
      </c>
      <c r="E423" s="218" t="s">
        <v>408</v>
      </c>
    </row>
    <row r="424" spans="2:5" hidden="1">
      <c r="B424" s="215" t="s">
        <v>261</v>
      </c>
      <c r="C424" s="218" t="s">
        <v>56</v>
      </c>
      <c r="D424" s="218" t="s">
        <v>412</v>
      </c>
      <c r="E424" s="218" t="s">
        <v>408</v>
      </c>
    </row>
    <row r="425" spans="2:5" hidden="1">
      <c r="B425" s="215" t="s">
        <v>254</v>
      </c>
      <c r="C425" s="218" t="s">
        <v>57</v>
      </c>
      <c r="D425" s="218" t="s">
        <v>417</v>
      </c>
      <c r="E425" s="218" t="s">
        <v>408</v>
      </c>
    </row>
    <row r="426" spans="2:5" hidden="1">
      <c r="B426" s="215" t="s">
        <v>258</v>
      </c>
      <c r="C426" s="218" t="s">
        <v>57</v>
      </c>
      <c r="D426" s="218" t="s">
        <v>412</v>
      </c>
      <c r="E426" s="218" t="s">
        <v>408</v>
      </c>
    </row>
    <row r="427" spans="2:5" hidden="1">
      <c r="B427" s="215" t="s">
        <v>253</v>
      </c>
      <c r="C427" s="218" t="s">
        <v>58</v>
      </c>
      <c r="D427" s="218" t="s">
        <v>417</v>
      </c>
      <c r="E427" s="218" t="s">
        <v>408</v>
      </c>
    </row>
    <row r="428" spans="2:5" hidden="1">
      <c r="B428" s="215" t="s">
        <v>252</v>
      </c>
      <c r="C428" s="218" t="s">
        <v>6</v>
      </c>
      <c r="D428" s="218" t="s">
        <v>412</v>
      </c>
      <c r="E428" s="218" t="s">
        <v>408</v>
      </c>
    </row>
    <row r="429" spans="2:5" hidden="1">
      <c r="B429" s="215" t="s">
        <v>250</v>
      </c>
      <c r="C429" s="218" t="s">
        <v>6</v>
      </c>
      <c r="D429" s="218" t="s">
        <v>412</v>
      </c>
      <c r="E429" s="218" t="s">
        <v>408</v>
      </c>
    </row>
    <row r="430" spans="2:5" hidden="1">
      <c r="B430" s="215" t="s">
        <v>305</v>
      </c>
      <c r="C430" s="218" t="s">
        <v>56</v>
      </c>
      <c r="D430" s="218" t="s">
        <v>418</v>
      </c>
      <c r="E430" s="218" t="s">
        <v>408</v>
      </c>
    </row>
    <row r="431" spans="2:5" hidden="1">
      <c r="B431" s="215" t="s">
        <v>302</v>
      </c>
      <c r="C431" s="218" t="s">
        <v>57</v>
      </c>
      <c r="D431" s="218" t="s">
        <v>417</v>
      </c>
      <c r="E431" s="218" t="s">
        <v>408</v>
      </c>
    </row>
    <row r="432" spans="2:5" hidden="1">
      <c r="B432" s="215" t="s">
        <v>256</v>
      </c>
      <c r="C432" s="218" t="s">
        <v>58</v>
      </c>
      <c r="D432" s="218" t="s">
        <v>412</v>
      </c>
      <c r="E432" s="218" t="s">
        <v>408</v>
      </c>
    </row>
    <row r="433" spans="2:5" hidden="1">
      <c r="B433" s="215" t="s">
        <v>298</v>
      </c>
      <c r="C433" s="218" t="s">
        <v>57</v>
      </c>
      <c r="D433" s="218" t="s">
        <v>417</v>
      </c>
      <c r="E433" s="218" t="s">
        <v>408</v>
      </c>
    </row>
    <row r="434" spans="2:5" hidden="1">
      <c r="B434" s="215" t="s">
        <v>249</v>
      </c>
      <c r="C434" s="218" t="s">
        <v>58</v>
      </c>
      <c r="D434" s="218" t="s">
        <v>417</v>
      </c>
      <c r="E434" s="218" t="s">
        <v>408</v>
      </c>
    </row>
    <row r="435" spans="2:5" hidden="1">
      <c r="B435" s="215" t="s">
        <v>290</v>
      </c>
      <c r="C435" s="218" t="s">
        <v>56</v>
      </c>
      <c r="D435" s="218" t="s">
        <v>412</v>
      </c>
      <c r="E435" s="218" t="s">
        <v>408</v>
      </c>
    </row>
    <row r="436" spans="2:5" hidden="1">
      <c r="B436" s="215" t="s">
        <v>247</v>
      </c>
      <c r="C436" s="218" t="s">
        <v>6</v>
      </c>
      <c r="D436" s="218" t="s">
        <v>417</v>
      </c>
      <c r="E436" s="218" t="s">
        <v>408</v>
      </c>
    </row>
    <row r="437" spans="2:5" hidden="1">
      <c r="B437" s="215" t="s">
        <v>245</v>
      </c>
      <c r="C437" s="218" t="s">
        <v>6</v>
      </c>
      <c r="D437" s="218" t="s">
        <v>412</v>
      </c>
      <c r="E437" s="218" t="s">
        <v>408</v>
      </c>
    </row>
    <row r="438" spans="2:5" hidden="1">
      <c r="B438" s="215" t="s">
        <v>243</v>
      </c>
      <c r="C438" s="218" t="s">
        <v>6</v>
      </c>
      <c r="D438" s="218" t="s">
        <v>417</v>
      </c>
      <c r="E438" s="218" t="s">
        <v>408</v>
      </c>
    </row>
    <row r="439" spans="2:5" hidden="1">
      <c r="B439" s="215" t="s">
        <v>242</v>
      </c>
      <c r="C439" s="218" t="s">
        <v>57</v>
      </c>
      <c r="D439" s="218" t="s">
        <v>412</v>
      </c>
      <c r="E439" s="218" t="s">
        <v>408</v>
      </c>
    </row>
    <row r="440" spans="2:5" hidden="1">
      <c r="B440" s="215" t="s">
        <v>285</v>
      </c>
      <c r="C440" s="218" t="s">
        <v>6</v>
      </c>
      <c r="D440" s="218" t="s">
        <v>417</v>
      </c>
      <c r="E440" s="218" t="s">
        <v>408</v>
      </c>
    </row>
    <row r="441" spans="2:5" hidden="1">
      <c r="B441" s="215" t="s">
        <v>240</v>
      </c>
      <c r="C441" s="218" t="s">
        <v>58</v>
      </c>
      <c r="D441" s="218" t="s">
        <v>411</v>
      </c>
      <c r="E441" s="218" t="s">
        <v>410</v>
      </c>
    </row>
    <row r="442" spans="2:5" hidden="1">
      <c r="B442" s="215" t="s">
        <v>238</v>
      </c>
      <c r="C442" s="218" t="s">
        <v>58</v>
      </c>
      <c r="D442" s="218" t="s">
        <v>411</v>
      </c>
      <c r="E442" s="218" t="s">
        <v>410</v>
      </c>
    </row>
    <row r="443" spans="2:5" hidden="1">
      <c r="B443" s="215" t="s">
        <v>282</v>
      </c>
      <c r="C443" s="218" t="s">
        <v>57</v>
      </c>
      <c r="D443" s="218" t="s">
        <v>415</v>
      </c>
      <c r="E443" s="218" t="s">
        <v>408</v>
      </c>
    </row>
    <row r="444" spans="2:5" hidden="1">
      <c r="B444" s="215" t="s">
        <v>287</v>
      </c>
      <c r="C444" s="218" t="s">
        <v>6</v>
      </c>
      <c r="D444" s="218" t="s">
        <v>417</v>
      </c>
      <c r="E444" s="218" t="s">
        <v>408</v>
      </c>
    </row>
    <row r="445" spans="2:5" hidden="1">
      <c r="B445" s="215" t="s">
        <v>251</v>
      </c>
      <c r="C445" s="218" t="s">
        <v>58</v>
      </c>
      <c r="D445" s="218" t="s">
        <v>417</v>
      </c>
      <c r="E445" s="218" t="s">
        <v>408</v>
      </c>
    </row>
    <row r="446" spans="2:5" hidden="1">
      <c r="B446" s="215" t="s">
        <v>237</v>
      </c>
      <c r="C446" s="218" t="s">
        <v>57</v>
      </c>
      <c r="D446" s="218" t="s">
        <v>412</v>
      </c>
      <c r="E446" s="218" t="s">
        <v>408</v>
      </c>
    </row>
    <row r="447" spans="2:5" hidden="1">
      <c r="B447" s="215" t="s">
        <v>236</v>
      </c>
      <c r="C447" s="218" t="s">
        <v>6</v>
      </c>
      <c r="D447" s="218" t="s">
        <v>417</v>
      </c>
      <c r="E447" s="218" t="s">
        <v>408</v>
      </c>
    </row>
    <row r="448" spans="2:5" hidden="1">
      <c r="B448" s="215" t="s">
        <v>248</v>
      </c>
      <c r="C448" s="218" t="s">
        <v>57</v>
      </c>
      <c r="D448" s="218" t="s">
        <v>416</v>
      </c>
      <c r="E448" s="218" t="s">
        <v>408</v>
      </c>
    </row>
    <row r="449" spans="2:5" hidden="1">
      <c r="B449" s="215" t="s">
        <v>235</v>
      </c>
      <c r="C449" s="218" t="s">
        <v>56</v>
      </c>
      <c r="D449" s="218" t="s">
        <v>412</v>
      </c>
      <c r="E449" s="218" t="s">
        <v>408</v>
      </c>
    </row>
    <row r="450" spans="2:5" hidden="1">
      <c r="B450" s="215" t="s">
        <v>281</v>
      </c>
      <c r="C450" s="218" t="s">
        <v>6</v>
      </c>
      <c r="D450" s="218" t="s">
        <v>415</v>
      </c>
      <c r="E450" s="218" t="s">
        <v>408</v>
      </c>
    </row>
    <row r="451" spans="2:5" hidden="1">
      <c r="B451" s="215" t="s">
        <v>246</v>
      </c>
      <c r="C451" s="218" t="s">
        <v>57</v>
      </c>
      <c r="D451" s="218" t="s">
        <v>412</v>
      </c>
      <c r="E451" s="218" t="s">
        <v>408</v>
      </c>
    </row>
    <row r="452" spans="2:5" hidden="1">
      <c r="B452" s="215" t="s">
        <v>244</v>
      </c>
      <c r="C452" s="218" t="s">
        <v>58</v>
      </c>
      <c r="D452" s="218" t="s">
        <v>409</v>
      </c>
      <c r="E452" s="218" t="s">
        <v>408</v>
      </c>
    </row>
    <row r="453" spans="2:5" hidden="1">
      <c r="B453" s="215" t="s">
        <v>234</v>
      </c>
      <c r="C453" s="218" t="s">
        <v>58</v>
      </c>
      <c r="D453" s="218" t="s">
        <v>412</v>
      </c>
      <c r="E453" s="218" t="s">
        <v>408</v>
      </c>
    </row>
    <row r="454" spans="2:5" hidden="1">
      <c r="B454" s="215" t="s">
        <v>233</v>
      </c>
      <c r="C454" s="218" t="s">
        <v>56</v>
      </c>
      <c r="D454" s="218" t="s">
        <v>416</v>
      </c>
      <c r="E454" s="218" t="s">
        <v>408</v>
      </c>
    </row>
    <row r="455" spans="2:5" hidden="1">
      <c r="B455" s="215" t="s">
        <v>241</v>
      </c>
      <c r="C455" s="218" t="s">
        <v>6</v>
      </c>
      <c r="D455" s="218" t="s">
        <v>415</v>
      </c>
      <c r="E455" s="218" t="s">
        <v>408</v>
      </c>
    </row>
    <row r="456" spans="2:5" hidden="1">
      <c r="B456" s="215" t="s">
        <v>268</v>
      </c>
      <c r="C456" s="218" t="s">
        <v>58</v>
      </c>
      <c r="D456" s="218" t="s">
        <v>414</v>
      </c>
      <c r="E456" s="218" t="s">
        <v>413</v>
      </c>
    </row>
    <row r="457" spans="2:5" hidden="1">
      <c r="B457" s="215" t="s">
        <v>239</v>
      </c>
      <c r="C457" s="218" t="s">
        <v>58</v>
      </c>
      <c r="D457" s="218" t="s">
        <v>412</v>
      </c>
      <c r="E457" s="218" t="s">
        <v>408</v>
      </c>
    </row>
    <row r="458" spans="2:5" hidden="1">
      <c r="B458" s="215" t="s">
        <v>264</v>
      </c>
      <c r="C458" s="218" t="s">
        <v>57</v>
      </c>
      <c r="D458" s="218" t="s">
        <v>409</v>
      </c>
      <c r="E458" s="218" t="s">
        <v>408</v>
      </c>
    </row>
    <row r="459" spans="2:5" hidden="1">
      <c r="B459" s="215" t="s">
        <v>232</v>
      </c>
      <c r="C459" s="218" t="s">
        <v>56</v>
      </c>
      <c r="D459" s="218" t="s">
        <v>411</v>
      </c>
      <c r="E459" s="218" t="s">
        <v>410</v>
      </c>
    </row>
    <row r="460" spans="2:5" hidden="1">
      <c r="B460" s="215" t="s">
        <v>231</v>
      </c>
      <c r="C460" s="218" t="s">
        <v>56</v>
      </c>
      <c r="D460" s="218" t="s">
        <v>409</v>
      </c>
      <c r="E460" s="218" t="s">
        <v>408</v>
      </c>
    </row>
    <row r="461" spans="2:5" hidden="1">
      <c r="B461" s="215" t="s">
        <v>230</v>
      </c>
      <c r="C461" s="218" t="s">
        <v>6</v>
      </c>
      <c r="D461" s="218" t="s">
        <v>411</v>
      </c>
      <c r="E461" s="218" t="s">
        <v>410</v>
      </c>
    </row>
    <row r="462" spans="2:5" hidden="1">
      <c r="B462" s="215" t="s">
        <v>229</v>
      </c>
      <c r="C462" s="218" t="s">
        <v>6</v>
      </c>
      <c r="D462" s="218" t="s">
        <v>409</v>
      </c>
      <c r="E462" s="218" t="s">
        <v>408</v>
      </c>
    </row>
    <row r="463" spans="2:5" hidden="1">
      <c r="B463" s="215" t="s">
        <v>228</v>
      </c>
      <c r="C463" s="218" t="s">
        <v>57</v>
      </c>
      <c r="D463" s="218" t="s">
        <v>411</v>
      </c>
      <c r="E463" s="218" t="s">
        <v>410</v>
      </c>
    </row>
    <row r="464" spans="2:5" hidden="1">
      <c r="B464" s="215" t="s">
        <v>227</v>
      </c>
      <c r="C464" s="218" t="s">
        <v>57</v>
      </c>
      <c r="D464" s="218" t="s">
        <v>409</v>
      </c>
      <c r="E464" s="218" t="s">
        <v>408</v>
      </c>
    </row>
    <row r="465" spans="1:5" hidden="1">
      <c r="B465" s="215" t="s">
        <v>226</v>
      </c>
      <c r="C465" s="218" t="s">
        <v>58</v>
      </c>
      <c r="D465" s="218" t="s">
        <v>411</v>
      </c>
      <c r="E465" s="218" t="s">
        <v>410</v>
      </c>
    </row>
    <row r="466" spans="1:5" hidden="1">
      <c r="B466" s="215" t="s">
        <v>225</v>
      </c>
      <c r="C466" s="218" t="s">
        <v>58</v>
      </c>
      <c r="D466" s="218" t="s">
        <v>409</v>
      </c>
      <c r="E466" s="218" t="s">
        <v>408</v>
      </c>
    </row>
    <row r="467" spans="1:5" hidden="1"/>
    <row r="468" spans="1:5" hidden="1">
      <c r="A468" s="217" t="s">
        <v>407</v>
      </c>
      <c r="B468" s="217" t="s">
        <v>406</v>
      </c>
      <c r="C468" s="217" t="s">
        <v>405</v>
      </c>
      <c r="D468" s="217" t="s">
        <v>404</v>
      </c>
      <c r="E468" s="217" t="s">
        <v>403</v>
      </c>
    </row>
    <row r="469" spans="1:5" hidden="1">
      <c r="A469" s="215" t="s">
        <v>402</v>
      </c>
      <c r="B469" s="215" t="s">
        <v>402</v>
      </c>
      <c r="C469" s="215" t="s">
        <v>402</v>
      </c>
      <c r="D469" s="215" t="s">
        <v>402</v>
      </c>
      <c r="E469" s="215" t="s">
        <v>399</v>
      </c>
    </row>
    <row r="470" spans="1:5" hidden="1">
      <c r="A470" s="215" t="s">
        <v>401</v>
      </c>
      <c r="B470" s="215" t="s">
        <v>401</v>
      </c>
      <c r="C470" s="215" t="s">
        <v>401</v>
      </c>
      <c r="D470" s="215" t="s">
        <v>401</v>
      </c>
      <c r="E470" s="215" t="s">
        <v>391</v>
      </c>
    </row>
    <row r="471" spans="1:5" hidden="1">
      <c r="A471" s="215" t="s">
        <v>400</v>
      </c>
      <c r="B471" s="215" t="s">
        <v>399</v>
      </c>
      <c r="C471" s="215" t="s">
        <v>399</v>
      </c>
      <c r="D471" s="215" t="s">
        <v>398</v>
      </c>
      <c r="E471" s="215" t="s">
        <v>381</v>
      </c>
    </row>
    <row r="472" spans="1:5" hidden="1">
      <c r="A472" s="215" t="s">
        <v>397</v>
      </c>
      <c r="B472" s="215" t="s">
        <v>391</v>
      </c>
      <c r="C472" s="215" t="s">
        <v>397</v>
      </c>
      <c r="D472" s="215" t="s">
        <v>396</v>
      </c>
      <c r="E472" s="215" t="s">
        <v>376</v>
      </c>
    </row>
    <row r="473" spans="1:5" hidden="1">
      <c r="A473" s="215" t="s">
        <v>391</v>
      </c>
      <c r="B473" s="215" t="s">
        <v>387</v>
      </c>
      <c r="C473" s="215" t="s">
        <v>395</v>
      </c>
      <c r="D473" s="215" t="s">
        <v>387</v>
      </c>
      <c r="E473" s="215" t="s">
        <v>394</v>
      </c>
    </row>
    <row r="474" spans="1:5" hidden="1">
      <c r="A474" s="215" t="s">
        <v>389</v>
      </c>
      <c r="B474" s="215" t="s">
        <v>386</v>
      </c>
      <c r="C474" s="215" t="s">
        <v>393</v>
      </c>
      <c r="D474" s="215" t="s">
        <v>392</v>
      </c>
      <c r="E474" s="215" t="s">
        <v>346</v>
      </c>
    </row>
    <row r="475" spans="1:5" hidden="1">
      <c r="A475" s="215" t="s">
        <v>387</v>
      </c>
      <c r="B475" s="215" t="s">
        <v>381</v>
      </c>
      <c r="C475" s="215" t="s">
        <v>391</v>
      </c>
      <c r="D475" s="215" t="s">
        <v>381</v>
      </c>
      <c r="E475" s="215" t="s">
        <v>342</v>
      </c>
    </row>
    <row r="476" spans="1:5" hidden="1">
      <c r="A476" s="215" t="s">
        <v>383</v>
      </c>
      <c r="B476" s="215" t="s">
        <v>390</v>
      </c>
      <c r="C476" s="215" t="s">
        <v>389</v>
      </c>
      <c r="D476" s="215" t="s">
        <v>379</v>
      </c>
      <c r="E476" s="215" t="s">
        <v>340</v>
      </c>
    </row>
    <row r="477" spans="1:5" hidden="1">
      <c r="A477" s="215" t="s">
        <v>388</v>
      </c>
      <c r="B477" s="215" t="s">
        <v>376</v>
      </c>
      <c r="C477" s="215" t="s">
        <v>387</v>
      </c>
      <c r="D477" s="215" t="s">
        <v>376</v>
      </c>
      <c r="E477" s="215" t="s">
        <v>328</v>
      </c>
    </row>
    <row r="478" spans="1:5" hidden="1">
      <c r="A478" s="215" t="s">
        <v>386</v>
      </c>
      <c r="B478" s="215" t="s">
        <v>384</v>
      </c>
      <c r="C478" s="215" t="s">
        <v>385</v>
      </c>
      <c r="D478" s="215" t="s">
        <v>384</v>
      </c>
      <c r="E478" s="215" t="s">
        <v>326</v>
      </c>
    </row>
    <row r="479" spans="1:5" hidden="1">
      <c r="A479" s="215" t="s">
        <v>376</v>
      </c>
      <c r="B479" s="215" t="s">
        <v>371</v>
      </c>
      <c r="C479" s="215" t="s">
        <v>383</v>
      </c>
      <c r="D479" s="215" t="s">
        <v>371</v>
      </c>
      <c r="E479" s="215" t="s">
        <v>382</v>
      </c>
    </row>
    <row r="480" spans="1:5" hidden="1">
      <c r="A480" s="215" t="s">
        <v>373</v>
      </c>
      <c r="B480" s="215" t="s">
        <v>380</v>
      </c>
      <c r="C480" s="215" t="s">
        <v>381</v>
      </c>
      <c r="D480" s="215" t="s">
        <v>380</v>
      </c>
      <c r="E480" s="215" t="s">
        <v>292</v>
      </c>
    </row>
    <row r="481" spans="1:5" hidden="1">
      <c r="A481" s="215" t="s">
        <v>372</v>
      </c>
      <c r="B481" s="215" t="s">
        <v>365</v>
      </c>
      <c r="C481" s="215" t="s">
        <v>379</v>
      </c>
      <c r="D481" s="215" t="s">
        <v>377</v>
      </c>
      <c r="E481" s="215" t="s">
        <v>283</v>
      </c>
    </row>
    <row r="482" spans="1:5" hidden="1">
      <c r="A482" s="215" t="s">
        <v>378</v>
      </c>
      <c r="B482" s="215" t="s">
        <v>377</v>
      </c>
      <c r="C482" s="215" t="s">
        <v>376</v>
      </c>
      <c r="D482" s="215" t="s">
        <v>370</v>
      </c>
      <c r="E482" s="215" t="s">
        <v>323</v>
      </c>
    </row>
    <row r="483" spans="1:5" hidden="1">
      <c r="A483" s="215" t="s">
        <v>371</v>
      </c>
      <c r="B483" s="215" t="s">
        <v>359</v>
      </c>
      <c r="C483" s="215" t="s">
        <v>375</v>
      </c>
      <c r="D483" s="215" t="s">
        <v>348</v>
      </c>
      <c r="E483" s="215" t="s">
        <v>266</v>
      </c>
    </row>
    <row r="484" spans="1:5" hidden="1">
      <c r="A484" s="215" t="s">
        <v>368</v>
      </c>
      <c r="B484" s="215" t="s">
        <v>374</v>
      </c>
      <c r="C484" s="215" t="s">
        <v>373</v>
      </c>
      <c r="D484" s="215" t="s">
        <v>346</v>
      </c>
      <c r="E484" s="215" t="s">
        <v>265</v>
      </c>
    </row>
    <row r="485" spans="1:5" hidden="1">
      <c r="A485" s="215" t="s">
        <v>365</v>
      </c>
      <c r="B485" s="215" t="s">
        <v>348</v>
      </c>
      <c r="C485" s="215" t="s">
        <v>372</v>
      </c>
      <c r="D485" s="215" t="s">
        <v>369</v>
      </c>
      <c r="E485" s="215" t="s">
        <v>259</v>
      </c>
    </row>
    <row r="486" spans="1:5" hidden="1">
      <c r="A486" s="215" t="s">
        <v>360</v>
      </c>
      <c r="B486" s="215" t="s">
        <v>346</v>
      </c>
      <c r="C486" s="215" t="s">
        <v>371</v>
      </c>
      <c r="D486" s="215" t="s">
        <v>345</v>
      </c>
      <c r="E486" s="215" t="s">
        <v>258</v>
      </c>
    </row>
    <row r="487" spans="1:5" hidden="1">
      <c r="A487" s="215" t="s">
        <v>370</v>
      </c>
      <c r="B487" s="215" t="s">
        <v>369</v>
      </c>
      <c r="C487" s="215" t="s">
        <v>368</v>
      </c>
      <c r="D487" s="215" t="s">
        <v>337</v>
      </c>
      <c r="E487" s="215" t="s">
        <v>242</v>
      </c>
    </row>
    <row r="488" spans="1:5" hidden="1">
      <c r="A488" s="215" t="s">
        <v>359</v>
      </c>
      <c r="B488" s="215" t="s">
        <v>342</v>
      </c>
      <c r="C488" s="215" t="s">
        <v>367</v>
      </c>
      <c r="D488" s="215" t="s">
        <v>334</v>
      </c>
      <c r="E488" s="215" t="s">
        <v>282</v>
      </c>
    </row>
    <row r="489" spans="1:5" hidden="1">
      <c r="A489" s="215" t="s">
        <v>366</v>
      </c>
      <c r="B489" s="215" t="s">
        <v>339</v>
      </c>
      <c r="C489" s="215" t="s">
        <v>365</v>
      </c>
      <c r="D489" s="215" t="s">
        <v>332</v>
      </c>
      <c r="E489" s="215" t="s">
        <v>237</v>
      </c>
    </row>
    <row r="490" spans="1:5" hidden="1">
      <c r="A490" s="215" t="s">
        <v>364</v>
      </c>
      <c r="B490" s="215" t="s">
        <v>363</v>
      </c>
      <c r="C490" s="215" t="s">
        <v>362</v>
      </c>
      <c r="D490" s="215" t="s">
        <v>361</v>
      </c>
      <c r="E490" s="215" t="s">
        <v>233</v>
      </c>
    </row>
    <row r="491" spans="1:5" hidden="1">
      <c r="A491" s="215" t="s">
        <v>354</v>
      </c>
      <c r="B491" s="215" t="s">
        <v>337</v>
      </c>
      <c r="C491" s="215" t="s">
        <v>360</v>
      </c>
      <c r="D491" s="215" t="s">
        <v>328</v>
      </c>
      <c r="E491" s="215" t="s">
        <v>241</v>
      </c>
    </row>
    <row r="492" spans="1:5" hidden="1">
      <c r="A492" s="215" t="s">
        <v>351</v>
      </c>
      <c r="B492" s="215" t="s">
        <v>334</v>
      </c>
      <c r="C492" s="215" t="s">
        <v>359</v>
      </c>
      <c r="D492" s="215" t="s">
        <v>326</v>
      </c>
      <c r="E492" s="215" t="s">
        <v>239</v>
      </c>
    </row>
    <row r="493" spans="1:5" hidden="1">
      <c r="A493" s="215" t="s">
        <v>349</v>
      </c>
      <c r="B493" s="215" t="s">
        <v>332</v>
      </c>
      <c r="C493" s="215" t="s">
        <v>358</v>
      </c>
      <c r="D493" s="215" t="s">
        <v>320</v>
      </c>
      <c r="E493" s="215" t="s">
        <v>232</v>
      </c>
    </row>
    <row r="494" spans="1:5" hidden="1">
      <c r="A494" s="215" t="s">
        <v>357</v>
      </c>
      <c r="B494" s="215" t="s">
        <v>328</v>
      </c>
      <c r="C494" s="215" t="s">
        <v>356</v>
      </c>
      <c r="D494" s="215" t="s">
        <v>319</v>
      </c>
      <c r="E494" s="215" t="s">
        <v>231</v>
      </c>
    </row>
    <row r="495" spans="1:5" hidden="1">
      <c r="A495" s="215" t="s">
        <v>355</v>
      </c>
      <c r="B495" s="215" t="s">
        <v>326</v>
      </c>
      <c r="C495" s="215" t="s">
        <v>354</v>
      </c>
      <c r="D495" s="215" t="s">
        <v>353</v>
      </c>
      <c r="E495" s="215" t="s">
        <v>230</v>
      </c>
    </row>
    <row r="496" spans="1:5" hidden="1">
      <c r="A496" s="215" t="s">
        <v>352</v>
      </c>
      <c r="B496" s="215" t="s">
        <v>320</v>
      </c>
      <c r="C496" s="215" t="s">
        <v>351</v>
      </c>
      <c r="D496" s="215" t="s">
        <v>344</v>
      </c>
      <c r="E496" s="215" t="s">
        <v>229</v>
      </c>
    </row>
    <row r="497" spans="1:5" hidden="1">
      <c r="A497" s="215" t="s">
        <v>347</v>
      </c>
      <c r="B497" s="215" t="s">
        <v>350</v>
      </c>
      <c r="C497" s="215" t="s">
        <v>349</v>
      </c>
      <c r="D497" s="215" t="s">
        <v>308</v>
      </c>
      <c r="E497" s="215" t="s">
        <v>228</v>
      </c>
    </row>
    <row r="498" spans="1:5" hidden="1">
      <c r="A498" s="215" t="s">
        <v>348</v>
      </c>
      <c r="B498" s="215" t="s">
        <v>319</v>
      </c>
      <c r="C498" s="215" t="s">
        <v>347</v>
      </c>
      <c r="D498" s="215" t="s">
        <v>297</v>
      </c>
      <c r="E498" s="215" t="s">
        <v>227</v>
      </c>
    </row>
    <row r="499" spans="1:5" hidden="1">
      <c r="A499" s="215" t="s">
        <v>343</v>
      </c>
      <c r="B499" s="215" t="s">
        <v>313</v>
      </c>
      <c r="C499" s="216" t="s">
        <v>346</v>
      </c>
      <c r="D499" s="215" t="s">
        <v>336</v>
      </c>
      <c r="E499" s="215" t="s">
        <v>226</v>
      </c>
    </row>
    <row r="500" spans="1:5" hidden="1">
      <c r="A500" s="215" t="s">
        <v>345</v>
      </c>
      <c r="B500" s="215" t="s">
        <v>344</v>
      </c>
      <c r="C500" s="215" t="s">
        <v>343</v>
      </c>
      <c r="D500" s="215" t="s">
        <v>303</v>
      </c>
      <c r="E500" s="215" t="s">
        <v>225</v>
      </c>
    </row>
    <row r="501" spans="1:5" hidden="1">
      <c r="A501" s="215" t="s">
        <v>340</v>
      </c>
      <c r="B501" s="215" t="s">
        <v>308</v>
      </c>
      <c r="C501" s="215" t="s">
        <v>342</v>
      </c>
      <c r="D501" s="215" t="s">
        <v>299</v>
      </c>
    </row>
    <row r="502" spans="1:5" hidden="1">
      <c r="A502" s="215" t="s">
        <v>341</v>
      </c>
      <c r="B502" s="215" t="s">
        <v>301</v>
      </c>
      <c r="C502" s="215" t="s">
        <v>340</v>
      </c>
      <c r="D502" s="215" t="s">
        <v>283</v>
      </c>
    </row>
    <row r="503" spans="1:5" hidden="1">
      <c r="A503" s="215" t="s">
        <v>339</v>
      </c>
      <c r="B503" s="215" t="s">
        <v>297</v>
      </c>
      <c r="C503" s="215" t="s">
        <v>338</v>
      </c>
      <c r="D503" s="215" t="s">
        <v>280</v>
      </c>
    </row>
    <row r="504" spans="1:5" hidden="1">
      <c r="A504" s="215" t="s">
        <v>337</v>
      </c>
      <c r="B504" s="215" t="s">
        <v>336</v>
      </c>
      <c r="C504" s="215" t="s">
        <v>335</v>
      </c>
      <c r="D504" s="215" t="s">
        <v>288</v>
      </c>
    </row>
    <row r="505" spans="1:5" hidden="1">
      <c r="A505" s="215" t="s">
        <v>334</v>
      </c>
      <c r="B505" s="215" t="s">
        <v>292</v>
      </c>
      <c r="C505" s="215" t="s">
        <v>333</v>
      </c>
      <c r="D505" s="215" t="s">
        <v>284</v>
      </c>
    </row>
    <row r="506" spans="1:5" hidden="1">
      <c r="A506" s="215" t="s">
        <v>332</v>
      </c>
      <c r="B506" s="215" t="s">
        <v>303</v>
      </c>
      <c r="C506" s="215" t="s">
        <v>329</v>
      </c>
      <c r="D506" s="215" t="s">
        <v>331</v>
      </c>
    </row>
    <row r="507" spans="1:5" hidden="1">
      <c r="A507" s="215" t="s">
        <v>330</v>
      </c>
      <c r="B507" s="215" t="s">
        <v>299</v>
      </c>
      <c r="C507" s="215" t="s">
        <v>328</v>
      </c>
      <c r="D507" s="215" t="s">
        <v>269</v>
      </c>
    </row>
    <row r="508" spans="1:5" hidden="1">
      <c r="A508" s="215" t="s">
        <v>329</v>
      </c>
      <c r="B508" s="215" t="s">
        <v>280</v>
      </c>
      <c r="C508" s="215" t="s">
        <v>326</v>
      </c>
      <c r="D508" s="215" t="s">
        <v>262</v>
      </c>
    </row>
    <row r="509" spans="1:5" hidden="1">
      <c r="A509" s="215" t="s">
        <v>328</v>
      </c>
      <c r="B509" s="215" t="s">
        <v>288</v>
      </c>
      <c r="C509" s="215" t="s">
        <v>322</v>
      </c>
      <c r="D509" s="215" t="s">
        <v>327</v>
      </c>
    </row>
    <row r="510" spans="1:5" hidden="1">
      <c r="A510" s="215" t="s">
        <v>326</v>
      </c>
      <c r="B510" s="215" t="s">
        <v>284</v>
      </c>
      <c r="C510" s="215" t="s">
        <v>325</v>
      </c>
      <c r="D510" s="215" t="s">
        <v>278</v>
      </c>
    </row>
    <row r="511" spans="1:5" hidden="1">
      <c r="A511" s="215" t="s">
        <v>324</v>
      </c>
      <c r="B511" s="215" t="s">
        <v>323</v>
      </c>
      <c r="C511" s="215" t="s">
        <v>319</v>
      </c>
      <c r="D511" s="215" t="s">
        <v>276</v>
      </c>
    </row>
    <row r="512" spans="1:5" hidden="1">
      <c r="A512" s="215" t="s">
        <v>322</v>
      </c>
      <c r="B512" s="215" t="s">
        <v>321</v>
      </c>
      <c r="C512" s="215" t="s">
        <v>316</v>
      </c>
      <c r="D512" s="215" t="s">
        <v>274</v>
      </c>
    </row>
    <row r="513" spans="1:4" hidden="1">
      <c r="A513" s="215" t="s">
        <v>320</v>
      </c>
      <c r="B513" s="215" t="s">
        <v>271</v>
      </c>
      <c r="C513" s="215" t="s">
        <v>308</v>
      </c>
      <c r="D513" s="215" t="s">
        <v>272</v>
      </c>
    </row>
    <row r="514" spans="1:4" hidden="1">
      <c r="A514" s="215" t="s">
        <v>319</v>
      </c>
      <c r="B514" s="215" t="s">
        <v>269</v>
      </c>
      <c r="C514" s="215" t="s">
        <v>306</v>
      </c>
      <c r="D514" s="215" t="s">
        <v>270</v>
      </c>
    </row>
    <row r="515" spans="1:4" hidden="1">
      <c r="A515" s="215" t="s">
        <v>318</v>
      </c>
      <c r="B515" s="215" t="s">
        <v>266</v>
      </c>
      <c r="C515" s="215" t="s">
        <v>317</v>
      </c>
      <c r="D515" s="215" t="s">
        <v>267</v>
      </c>
    </row>
    <row r="516" spans="1:4" hidden="1">
      <c r="A516" s="215" t="s">
        <v>316</v>
      </c>
      <c r="B516" s="215" t="s">
        <v>265</v>
      </c>
      <c r="C516" s="215" t="s">
        <v>315</v>
      </c>
      <c r="D516" s="215" t="s">
        <v>314</v>
      </c>
    </row>
    <row r="517" spans="1:4" hidden="1">
      <c r="A517" s="215" t="s">
        <v>313</v>
      </c>
      <c r="B517" s="215" t="s">
        <v>262</v>
      </c>
      <c r="C517" s="215" t="s">
        <v>312</v>
      </c>
      <c r="D517" s="215" t="s">
        <v>311</v>
      </c>
    </row>
    <row r="518" spans="1:4" hidden="1">
      <c r="A518" s="215" t="s">
        <v>310</v>
      </c>
      <c r="B518" s="215" t="s">
        <v>278</v>
      </c>
      <c r="C518" s="215" t="s">
        <v>309</v>
      </c>
      <c r="D518" s="215" t="s">
        <v>261</v>
      </c>
    </row>
    <row r="519" spans="1:4" hidden="1">
      <c r="A519" s="215" t="s">
        <v>308</v>
      </c>
      <c r="B519" s="215" t="s">
        <v>276</v>
      </c>
      <c r="C519" s="215" t="s">
        <v>307</v>
      </c>
      <c r="D519" s="215" t="s">
        <v>253</v>
      </c>
    </row>
    <row r="520" spans="1:4" hidden="1">
      <c r="A520" s="215" t="s">
        <v>306</v>
      </c>
      <c r="B520" s="215" t="s">
        <v>259</v>
      </c>
      <c r="C520" s="216" t="s">
        <v>294</v>
      </c>
      <c r="D520" s="215" t="s">
        <v>305</v>
      </c>
    </row>
    <row r="521" spans="1:4" hidden="1">
      <c r="A521" s="215" t="s">
        <v>304</v>
      </c>
      <c r="B521" s="215" t="s">
        <v>255</v>
      </c>
      <c r="C521" s="215" t="s">
        <v>303</v>
      </c>
      <c r="D521" s="215" t="s">
        <v>302</v>
      </c>
    </row>
    <row r="522" spans="1:4" hidden="1">
      <c r="A522" s="215" t="s">
        <v>301</v>
      </c>
      <c r="B522" s="215" t="s">
        <v>300</v>
      </c>
      <c r="C522" s="215" t="s">
        <v>299</v>
      </c>
      <c r="D522" s="215" t="s">
        <v>298</v>
      </c>
    </row>
    <row r="523" spans="1:4" hidden="1">
      <c r="A523" s="215" t="s">
        <v>297</v>
      </c>
      <c r="B523" s="215" t="s">
        <v>296</v>
      </c>
      <c r="C523" s="215" t="s">
        <v>295</v>
      </c>
      <c r="D523" s="215" t="s">
        <v>249</v>
      </c>
    </row>
    <row r="524" spans="1:4" hidden="1">
      <c r="A524" s="215" t="s">
        <v>294</v>
      </c>
      <c r="B524" s="215" t="s">
        <v>253</v>
      </c>
      <c r="C524" s="216" t="s">
        <v>293</v>
      </c>
      <c r="D524" s="215" t="s">
        <v>247</v>
      </c>
    </row>
    <row r="525" spans="1:4" hidden="1">
      <c r="A525" s="215" t="s">
        <v>292</v>
      </c>
      <c r="B525" s="215" t="s">
        <v>249</v>
      </c>
      <c r="C525" s="215" t="s">
        <v>283</v>
      </c>
      <c r="D525" s="215" t="s">
        <v>242</v>
      </c>
    </row>
    <row r="526" spans="1:4" hidden="1">
      <c r="A526" s="215" t="s">
        <v>291</v>
      </c>
      <c r="B526" s="215" t="s">
        <v>290</v>
      </c>
      <c r="C526" s="215" t="s">
        <v>280</v>
      </c>
      <c r="D526" s="215" t="s">
        <v>282</v>
      </c>
    </row>
    <row r="527" spans="1:4" hidden="1">
      <c r="A527" s="215" t="s">
        <v>289</v>
      </c>
      <c r="B527" s="215" t="s">
        <v>242</v>
      </c>
      <c r="C527" s="215" t="s">
        <v>288</v>
      </c>
      <c r="D527" s="215" t="s">
        <v>287</v>
      </c>
    </row>
    <row r="528" spans="1:4" hidden="1">
      <c r="A528" s="215" t="s">
        <v>286</v>
      </c>
      <c r="B528" s="215" t="s">
        <v>285</v>
      </c>
      <c r="C528" s="215" t="s">
        <v>284</v>
      </c>
      <c r="D528" s="215" t="s">
        <v>237</v>
      </c>
    </row>
    <row r="529" spans="1:4" hidden="1">
      <c r="A529" s="215" t="s">
        <v>283</v>
      </c>
      <c r="B529" s="215" t="s">
        <v>282</v>
      </c>
      <c r="C529" s="215" t="s">
        <v>266</v>
      </c>
      <c r="D529" s="215" t="s">
        <v>281</v>
      </c>
    </row>
    <row r="530" spans="1:4" hidden="1">
      <c r="A530" s="215" t="s">
        <v>280</v>
      </c>
      <c r="B530" s="215" t="s">
        <v>237</v>
      </c>
      <c r="C530" s="215" t="s">
        <v>265</v>
      </c>
      <c r="D530" s="215" t="s">
        <v>232</v>
      </c>
    </row>
    <row r="531" spans="1:4" hidden="1">
      <c r="A531" s="215" t="s">
        <v>279</v>
      </c>
      <c r="B531" s="215" t="s">
        <v>235</v>
      </c>
      <c r="C531" s="215" t="s">
        <v>278</v>
      </c>
      <c r="D531" s="215" t="s">
        <v>231</v>
      </c>
    </row>
    <row r="532" spans="1:4" hidden="1">
      <c r="A532" s="215" t="s">
        <v>277</v>
      </c>
      <c r="B532" s="215" t="s">
        <v>246</v>
      </c>
      <c r="C532" s="215" t="s">
        <v>276</v>
      </c>
      <c r="D532" s="215" t="s">
        <v>230</v>
      </c>
    </row>
    <row r="533" spans="1:4" hidden="1">
      <c r="A533" s="215" t="s">
        <v>275</v>
      </c>
      <c r="B533" s="215" t="s">
        <v>234</v>
      </c>
      <c r="C533" s="215" t="s">
        <v>274</v>
      </c>
      <c r="D533" s="215" t="s">
        <v>229</v>
      </c>
    </row>
    <row r="534" spans="1:4" hidden="1">
      <c r="A534" s="215" t="s">
        <v>273</v>
      </c>
      <c r="B534" s="215" t="s">
        <v>233</v>
      </c>
      <c r="C534" s="215" t="s">
        <v>272</v>
      </c>
      <c r="D534" s="215" t="s">
        <v>228</v>
      </c>
    </row>
    <row r="535" spans="1:4" hidden="1">
      <c r="A535" s="215" t="s">
        <v>271</v>
      </c>
      <c r="B535" s="215" t="s">
        <v>241</v>
      </c>
      <c r="C535" s="215" t="s">
        <v>270</v>
      </c>
      <c r="D535" s="215" t="s">
        <v>227</v>
      </c>
    </row>
    <row r="536" spans="1:4" hidden="1">
      <c r="A536" s="215" t="s">
        <v>269</v>
      </c>
      <c r="B536" s="215" t="s">
        <v>268</v>
      </c>
      <c r="C536" s="215" t="s">
        <v>267</v>
      </c>
      <c r="D536" s="215" t="s">
        <v>226</v>
      </c>
    </row>
    <row r="537" spans="1:4" hidden="1">
      <c r="A537" s="215" t="s">
        <v>266</v>
      </c>
      <c r="B537" s="215" t="s">
        <v>239</v>
      </c>
      <c r="C537" s="215" t="s">
        <v>257</v>
      </c>
      <c r="D537" s="215" t="s">
        <v>225</v>
      </c>
    </row>
    <row r="538" spans="1:4" hidden="1">
      <c r="A538" s="215" t="s">
        <v>265</v>
      </c>
      <c r="B538" s="215" t="s">
        <v>264</v>
      </c>
      <c r="C538" s="215" t="s">
        <v>263</v>
      </c>
    </row>
    <row r="539" spans="1:4" hidden="1">
      <c r="A539" s="215" t="s">
        <v>262</v>
      </c>
      <c r="B539" s="215" t="s">
        <v>232</v>
      </c>
      <c r="C539" s="215" t="s">
        <v>261</v>
      </c>
    </row>
    <row r="540" spans="1:4" hidden="1">
      <c r="A540" s="215" t="s">
        <v>260</v>
      </c>
      <c r="B540" s="215" t="s">
        <v>231</v>
      </c>
      <c r="C540" s="215" t="s">
        <v>254</v>
      </c>
    </row>
    <row r="541" spans="1:4" hidden="1">
      <c r="A541" s="215" t="s">
        <v>259</v>
      </c>
      <c r="B541" s="215" t="s">
        <v>230</v>
      </c>
      <c r="C541" s="215" t="s">
        <v>258</v>
      </c>
    </row>
    <row r="542" spans="1:4" hidden="1">
      <c r="A542" s="215" t="s">
        <v>257</v>
      </c>
      <c r="B542" s="215" t="s">
        <v>229</v>
      </c>
      <c r="C542" s="215" t="s">
        <v>256</v>
      </c>
    </row>
    <row r="543" spans="1:4" hidden="1">
      <c r="A543" s="215" t="s">
        <v>255</v>
      </c>
      <c r="B543" s="215" t="s">
        <v>228</v>
      </c>
      <c r="C543" s="215" t="s">
        <v>242</v>
      </c>
    </row>
    <row r="544" spans="1:4" hidden="1">
      <c r="A544" s="215" t="s">
        <v>254</v>
      </c>
      <c r="B544" s="215" t="s">
        <v>227</v>
      </c>
      <c r="C544" s="215" t="s">
        <v>240</v>
      </c>
    </row>
    <row r="545" spans="1:3" hidden="1">
      <c r="A545" s="215" t="s">
        <v>253</v>
      </c>
      <c r="B545" s="215" t="s">
        <v>226</v>
      </c>
      <c r="C545" s="215" t="s">
        <v>238</v>
      </c>
    </row>
    <row r="546" spans="1:3" hidden="1">
      <c r="A546" s="215" t="s">
        <v>252</v>
      </c>
      <c r="B546" s="215" t="s">
        <v>225</v>
      </c>
      <c r="C546" s="215" t="s">
        <v>251</v>
      </c>
    </row>
    <row r="547" spans="1:3" hidden="1">
      <c r="A547" s="215" t="s">
        <v>250</v>
      </c>
      <c r="C547" s="215" t="s">
        <v>237</v>
      </c>
    </row>
    <row r="548" spans="1:3" hidden="1">
      <c r="A548" s="215" t="s">
        <v>249</v>
      </c>
      <c r="C548" s="215" t="s">
        <v>248</v>
      </c>
    </row>
    <row r="549" spans="1:3" hidden="1">
      <c r="A549" s="215" t="s">
        <v>247</v>
      </c>
      <c r="C549" s="215" t="s">
        <v>246</v>
      </c>
    </row>
    <row r="550" spans="1:3" hidden="1">
      <c r="A550" s="215" t="s">
        <v>245</v>
      </c>
      <c r="C550" s="215" t="s">
        <v>244</v>
      </c>
    </row>
    <row r="551" spans="1:3" hidden="1">
      <c r="A551" s="215" t="s">
        <v>243</v>
      </c>
      <c r="C551" s="215" t="s">
        <v>233</v>
      </c>
    </row>
    <row r="552" spans="1:3" hidden="1">
      <c r="A552" s="215" t="s">
        <v>242</v>
      </c>
      <c r="C552" s="215" t="s">
        <v>241</v>
      </c>
    </row>
    <row r="553" spans="1:3" hidden="1">
      <c r="A553" s="215" t="s">
        <v>240</v>
      </c>
      <c r="C553" s="215" t="s">
        <v>239</v>
      </c>
    </row>
    <row r="554" spans="1:3" hidden="1">
      <c r="A554" s="215" t="s">
        <v>238</v>
      </c>
      <c r="C554" s="215" t="s">
        <v>232</v>
      </c>
    </row>
    <row r="555" spans="1:3" hidden="1">
      <c r="A555" s="215" t="s">
        <v>237</v>
      </c>
      <c r="C555" s="215" t="s">
        <v>231</v>
      </c>
    </row>
    <row r="556" spans="1:3" hidden="1">
      <c r="A556" s="215" t="s">
        <v>236</v>
      </c>
      <c r="C556" s="215" t="s">
        <v>230</v>
      </c>
    </row>
    <row r="557" spans="1:3" hidden="1">
      <c r="A557" s="215" t="s">
        <v>235</v>
      </c>
      <c r="C557" s="215" t="s">
        <v>229</v>
      </c>
    </row>
    <row r="558" spans="1:3" hidden="1">
      <c r="A558" s="215" t="s">
        <v>234</v>
      </c>
      <c r="C558" s="215" t="s">
        <v>228</v>
      </c>
    </row>
    <row r="559" spans="1:3" hidden="1">
      <c r="A559" s="215" t="s">
        <v>233</v>
      </c>
      <c r="C559" s="215" t="s">
        <v>227</v>
      </c>
    </row>
    <row r="560" spans="1:3" hidden="1">
      <c r="A560" s="215" t="s">
        <v>232</v>
      </c>
      <c r="C560" s="215" t="s">
        <v>226</v>
      </c>
    </row>
    <row r="561" spans="1:25" hidden="1">
      <c r="A561" s="215" t="s">
        <v>231</v>
      </c>
      <c r="C561" s="215" t="s">
        <v>225</v>
      </c>
    </row>
    <row r="562" spans="1:25" hidden="1">
      <c r="A562" s="215" t="s">
        <v>230</v>
      </c>
    </row>
    <row r="563" spans="1:25" hidden="1">
      <c r="A563" s="215" t="s">
        <v>229</v>
      </c>
    </row>
    <row r="564" spans="1:25" hidden="1">
      <c r="A564" s="215" t="s">
        <v>228</v>
      </c>
    </row>
    <row r="565" spans="1:25" hidden="1">
      <c r="A565" s="215" t="s">
        <v>227</v>
      </c>
    </row>
    <row r="566" spans="1:25" hidden="1">
      <c r="A566" s="215" t="s">
        <v>226</v>
      </c>
    </row>
    <row r="567" spans="1:25" hidden="1">
      <c r="A567" s="215" t="s">
        <v>225</v>
      </c>
    </row>
    <row r="568" spans="1:25" hidden="1">
      <c r="A568" s="215" t="s">
        <v>224</v>
      </c>
    </row>
    <row r="569" spans="1:25" hidden="1"/>
    <row r="570" spans="1:25" ht="15.75" thickTop="1">
      <c r="A570" s="363" t="s">
        <v>701</v>
      </c>
      <c r="B570"/>
      <c r="C570"/>
      <c r="D570"/>
      <c r="E570"/>
      <c r="F570"/>
    </row>
    <row r="571" spans="1:25" ht="15" hidden="1">
      <c r="A571"/>
      <c r="B571"/>
      <c r="C571"/>
      <c r="D571"/>
      <c r="E571" t="s">
        <v>696</v>
      </c>
      <c r="F571" t="str">
        <f>$G584</f>
        <v/>
      </c>
      <c r="G571" s="215" t="str">
        <f>$G585</f>
        <v/>
      </c>
      <c r="H571" s="215" t="str">
        <f>$G586</f>
        <v/>
      </c>
      <c r="I571" s="215" t="str">
        <f>$G587</f>
        <v/>
      </c>
      <c r="J571" s="215" t="str">
        <f>$G588</f>
        <v/>
      </c>
      <c r="K571" s="215" t="str">
        <f>$G589</f>
        <v/>
      </c>
      <c r="L571" s="215" t="str">
        <f>$G590</f>
        <v/>
      </c>
      <c r="M571" s="215" t="str">
        <f>$G591</f>
        <v/>
      </c>
      <c r="N571" s="215" t="str">
        <f>$G592</f>
        <v/>
      </c>
      <c r="O571" s="215" t="str">
        <f>$G593</f>
        <v/>
      </c>
      <c r="P571" s="215" t="str">
        <f>$G594</f>
        <v/>
      </c>
      <c r="Q571" s="215" t="str">
        <f>$G595</f>
        <v/>
      </c>
      <c r="R571" s="215" t="str">
        <f>$G596</f>
        <v/>
      </c>
      <c r="S571" s="215" t="str">
        <f>$G597</f>
        <v/>
      </c>
      <c r="T571" s="215" t="str">
        <f>$G598</f>
        <v/>
      </c>
      <c r="U571" s="215" t="str">
        <f>$G599</f>
        <v/>
      </c>
      <c r="V571" s="215" t="str">
        <f>$G600</f>
        <v/>
      </c>
      <c r="W571" s="215" t="str">
        <f>$G601</f>
        <v/>
      </c>
      <c r="X571" s="215" t="str">
        <f>$G602</f>
        <v/>
      </c>
      <c r="Y571" s="215" t="str">
        <f>$G603</f>
        <v/>
      </c>
    </row>
    <row r="572" spans="1:25" ht="15" hidden="1" customHeight="1">
      <c r="A572"/>
      <c r="B572"/>
      <c r="C572"/>
      <c r="D572"/>
      <c r="E572" s="363" t="s">
        <v>697</v>
      </c>
      <c r="F572" t="str">
        <f>$H584</f>
        <v/>
      </c>
      <c r="G572" s="215" t="str">
        <f>$H585</f>
        <v/>
      </c>
      <c r="H572" s="215" t="str">
        <f>$H586</f>
        <v/>
      </c>
      <c r="I572" s="215" t="str">
        <f>$H587</f>
        <v/>
      </c>
      <c r="J572" s="215" t="str">
        <f>$H588</f>
        <v/>
      </c>
      <c r="K572" s="215" t="str">
        <f>$H589</f>
        <v/>
      </c>
      <c r="L572" s="215" t="str">
        <f>$H590</f>
        <v/>
      </c>
      <c r="M572" s="215" t="str">
        <f>$H591</f>
        <v/>
      </c>
      <c r="N572" s="215" t="str">
        <f>$H592</f>
        <v/>
      </c>
      <c r="O572" s="215" t="str">
        <f>$H593</f>
        <v/>
      </c>
      <c r="P572" s="215" t="str">
        <f>$H594</f>
        <v/>
      </c>
      <c r="Q572" s="215" t="str">
        <f>$H595</f>
        <v/>
      </c>
      <c r="R572" s="215" t="str">
        <f>$H596</f>
        <v/>
      </c>
      <c r="S572" s="215" t="str">
        <f>$H597</f>
        <v/>
      </c>
      <c r="T572" s="215" t="str">
        <f>$H598</f>
        <v/>
      </c>
      <c r="U572" s="215" t="str">
        <f>$H599</f>
        <v/>
      </c>
      <c r="V572" s="215" t="str">
        <f>$H600</f>
        <v/>
      </c>
      <c r="W572" s="215" t="str">
        <f>$H601</f>
        <v/>
      </c>
      <c r="X572" s="215" t="str">
        <f>$H602</f>
        <v/>
      </c>
      <c r="Y572" s="215" t="str">
        <f>$H603</f>
        <v/>
      </c>
    </row>
    <row r="573" spans="1:25" ht="15" hidden="1">
      <c r="A573"/>
      <c r="B573"/>
      <c r="C573"/>
      <c r="D573"/>
      <c r="E573" s="701" t="s">
        <v>698</v>
      </c>
      <c r="F573" s="364">
        <v>1</v>
      </c>
      <c r="G573" s="215">
        <v>2</v>
      </c>
      <c r="H573" s="364">
        <v>3</v>
      </c>
      <c r="I573" s="215">
        <v>4</v>
      </c>
      <c r="J573" s="364">
        <v>5</v>
      </c>
      <c r="K573" s="215">
        <v>6</v>
      </c>
      <c r="L573" s="364">
        <v>7</v>
      </c>
      <c r="M573" s="215">
        <v>8</v>
      </c>
      <c r="N573" s="364">
        <v>9</v>
      </c>
      <c r="O573" s="215">
        <v>10</v>
      </c>
      <c r="P573" s="364">
        <v>11</v>
      </c>
      <c r="Q573" s="215">
        <v>12</v>
      </c>
      <c r="R573" s="364">
        <v>13</v>
      </c>
      <c r="S573" s="215">
        <v>14</v>
      </c>
      <c r="T573" s="364">
        <v>15</v>
      </c>
      <c r="U573" s="215">
        <v>16</v>
      </c>
      <c r="V573" s="364">
        <v>17</v>
      </c>
      <c r="W573" s="215">
        <v>18</v>
      </c>
      <c r="X573" s="364">
        <v>19</v>
      </c>
      <c r="Y573" s="215">
        <v>20</v>
      </c>
    </row>
    <row r="574" spans="1:25" ht="15" hidden="1">
      <c r="A574"/>
      <c r="B574"/>
      <c r="C574"/>
      <c r="D574"/>
      <c r="E574" s="701"/>
      <c r="F574" t="str">
        <f>"'"&amp;F$573&amp;"'!L26"</f>
        <v>'1'!L26</v>
      </c>
      <c r="G574" t="str">
        <f>"'"&amp;G$573&amp;"'!L26"</f>
        <v>'2'!L26</v>
      </c>
    </row>
    <row r="575" spans="1:25" ht="15" hidden="1">
      <c r="A575"/>
      <c r="B575"/>
      <c r="C575"/>
      <c r="D575"/>
      <c r="E575" s="701"/>
      <c r="F575" t="str">
        <f>"'"&amp;F$573&amp;"'!L27"</f>
        <v>'1'!L27</v>
      </c>
      <c r="G575" t="str">
        <f>"'"&amp;G$573&amp;"'!L27"</f>
        <v>'2'!L27</v>
      </c>
    </row>
    <row r="576" spans="1:25" ht="15" hidden="1">
      <c r="A576"/>
      <c r="B576"/>
      <c r="C576"/>
      <c r="D576"/>
      <c r="E576" s="701"/>
      <c r="F576" t="str">
        <f>"'"&amp;F$573&amp;"'!L28"</f>
        <v>'1'!L28</v>
      </c>
      <c r="G576" t="str">
        <f>"'"&amp;G$573&amp;"'!L28"</f>
        <v>'2'!L28</v>
      </c>
    </row>
    <row r="577" spans="1:17" ht="15" hidden="1" customHeight="1">
      <c r="A577"/>
      <c r="B577"/>
      <c r="C577"/>
      <c r="D577"/>
      <c r="E577"/>
      <c r="F577"/>
    </row>
    <row r="578" spans="1:17" ht="15" hidden="1">
      <c r="A578"/>
      <c r="B578"/>
      <c r="C578"/>
      <c r="D578"/>
      <c r="E578" s="702" t="s">
        <v>699</v>
      </c>
      <c r="F578" s="365">
        <f>'[3]Field Inv'!$M8</f>
        <v>0</v>
      </c>
    </row>
    <row r="579" spans="1:17" ht="15" hidden="1">
      <c r="A579"/>
      <c r="B579"/>
      <c r="C579"/>
      <c r="D579"/>
      <c r="E579" s="702"/>
      <c r="F579" s="365">
        <f>'[3]Field Inv'!$N8</f>
        <v>0</v>
      </c>
    </row>
    <row r="580" spans="1:17" ht="15" hidden="1">
      <c r="A580"/>
      <c r="B580"/>
      <c r="C580"/>
      <c r="D580"/>
      <c r="E580" s="702"/>
      <c r="F580" s="365">
        <f>'[3]Field Inv'!$O8</f>
        <v>0</v>
      </c>
    </row>
    <row r="581" spans="1:17" ht="15" hidden="1">
      <c r="E581" s="367"/>
      <c r="F581" s="365"/>
    </row>
    <row r="582" spans="1:17" hidden="1"/>
    <row r="583" spans="1:17" hidden="1">
      <c r="F583" s="222"/>
      <c r="G583" s="215" t="s">
        <v>45</v>
      </c>
      <c r="H583" s="215" t="s">
        <v>702</v>
      </c>
      <c r="I583" s="215" t="s">
        <v>703</v>
      </c>
      <c r="J583" s="215" t="s">
        <v>704</v>
      </c>
      <c r="L583" s="215" t="s">
        <v>705</v>
      </c>
      <c r="M583" s="215" t="s">
        <v>706</v>
      </c>
      <c r="N583" s="215" t="s">
        <v>730</v>
      </c>
      <c r="P583" s="215" t="s">
        <v>707</v>
      </c>
    </row>
    <row r="584" spans="1:17" hidden="1">
      <c r="F584" s="222">
        <v>1</v>
      </c>
      <c r="G584" s="215" t="str">
        <f>IF('Field Info'!A4="","",'Field Info'!A4)</f>
        <v/>
      </c>
      <c r="H584" s="215" t="str">
        <f>IF('Field Info'!B4="","",'Field Info'!B4)</f>
        <v/>
      </c>
      <c r="I584" s="215" t="str">
        <f>IF('Field Info'!A4="","",F$5)</f>
        <v/>
      </c>
      <c r="J584" s="215" t="str">
        <f>IF('Field Info'!A4="","",F$6)</f>
        <v/>
      </c>
      <c r="K584" s="215" t="s">
        <v>708</v>
      </c>
      <c r="L584" s="283">
        <f>F$25</f>
        <v>0</v>
      </c>
      <c r="M584" s="215">
        <f>F$11</f>
        <v>0</v>
      </c>
      <c r="N584" s="218" t="str">
        <f>VLOOKUP(M584,$O$584:$P$588,2)</f>
        <v>low</v>
      </c>
      <c r="O584" s="215">
        <v>0</v>
      </c>
      <c r="P584" s="215" t="s">
        <v>19</v>
      </c>
      <c r="Q584" s="215" t="s">
        <v>709</v>
      </c>
    </row>
    <row r="585" spans="1:17" hidden="1">
      <c r="F585" s="222">
        <v>2</v>
      </c>
      <c r="G585" s="215" t="str">
        <f>IF('Field Info'!A5="","",'Field Info'!A5)</f>
        <v/>
      </c>
      <c r="H585" s="215" t="str">
        <f>IF('Field Info'!B5="","",'Field Info'!B5)</f>
        <v/>
      </c>
      <c r="I585" s="215" t="str">
        <f>IF('Field Info'!A5="","",G$5)</f>
        <v/>
      </c>
      <c r="J585" s="215" t="str">
        <f>IF('Field Info'!A5="","",G$6)</f>
        <v/>
      </c>
      <c r="K585" s="215" t="s">
        <v>710</v>
      </c>
      <c r="L585" s="283">
        <f>G$25</f>
        <v>0</v>
      </c>
      <c r="M585" s="215">
        <f>G$11</f>
        <v>0</v>
      </c>
      <c r="N585" s="218" t="str">
        <f t="shared" ref="N585:N603" si="90">VLOOKUP(M585,$O$584:$P$588,2)</f>
        <v>low</v>
      </c>
      <c r="O585" s="215">
        <v>2.1</v>
      </c>
      <c r="P585" s="215" t="s">
        <v>20</v>
      </c>
      <c r="Q585" s="215" t="s">
        <v>711</v>
      </c>
    </row>
    <row r="586" spans="1:17" hidden="1">
      <c r="F586" s="222">
        <v>3</v>
      </c>
      <c r="G586" s="215" t="str">
        <f>IF('Field Info'!A6="","",'Field Info'!A6)</f>
        <v/>
      </c>
      <c r="H586" s="215" t="str">
        <f>IF('Field Info'!B6="","",'Field Info'!B6)</f>
        <v/>
      </c>
      <c r="I586" s="215" t="str">
        <f>IF('Field Info'!A6="","",H$5)</f>
        <v/>
      </c>
      <c r="J586" s="215" t="str">
        <f>IF('Field Info'!A6="","",H$6)</f>
        <v/>
      </c>
      <c r="K586" s="215" t="s">
        <v>712</v>
      </c>
      <c r="L586" s="283">
        <f>H$25</f>
        <v>0</v>
      </c>
      <c r="M586" s="215">
        <f>H$11</f>
        <v>0</v>
      </c>
      <c r="N586" s="218" t="str">
        <f t="shared" si="90"/>
        <v>low</v>
      </c>
      <c r="O586" s="215">
        <v>4.0999999999999996</v>
      </c>
      <c r="P586" s="215" t="s">
        <v>21</v>
      </c>
      <c r="Q586" s="215" t="s">
        <v>713</v>
      </c>
    </row>
    <row r="587" spans="1:17" hidden="1">
      <c r="F587" s="222">
        <v>4</v>
      </c>
      <c r="G587" s="215" t="str">
        <f>IF('Field Info'!A7="","",'Field Info'!A7)</f>
        <v/>
      </c>
      <c r="H587" s="215" t="str">
        <f>IF('Field Info'!B7="","",'Field Info'!B7)</f>
        <v/>
      </c>
      <c r="I587" s="215" t="str">
        <f>IF('Field Info'!A7="","",I$5)</f>
        <v/>
      </c>
      <c r="J587" s="215" t="str">
        <f>IF('Field Info'!A7="","",I$6)</f>
        <v/>
      </c>
      <c r="K587" s="215" t="s">
        <v>714</v>
      </c>
      <c r="L587" s="283">
        <f>I$25</f>
        <v>0</v>
      </c>
      <c r="M587" s="215">
        <f>I$11</f>
        <v>0</v>
      </c>
      <c r="N587" s="218" t="str">
        <f t="shared" si="90"/>
        <v>low</v>
      </c>
      <c r="O587" s="215">
        <v>7.1</v>
      </c>
      <c r="P587" s="215" t="s">
        <v>223</v>
      </c>
      <c r="Q587" s="215" t="s">
        <v>715</v>
      </c>
    </row>
    <row r="588" spans="1:17" hidden="1">
      <c r="F588" s="222">
        <v>5</v>
      </c>
      <c r="G588" s="215" t="str">
        <f>IF('Field Info'!A8="","",'Field Info'!A8)</f>
        <v/>
      </c>
      <c r="H588" s="215" t="str">
        <f>IF('Field Info'!B8="","",'Field Info'!B8)</f>
        <v/>
      </c>
      <c r="I588" s="215" t="str">
        <f>IF('Field Info'!A8="","",J$5)</f>
        <v/>
      </c>
      <c r="J588" s="215" t="str">
        <f>IF('Field Info'!A8="","",J$6)</f>
        <v/>
      </c>
      <c r="K588" s="215" t="s">
        <v>716</v>
      </c>
      <c r="L588" s="283">
        <f>J$25</f>
        <v>0</v>
      </c>
      <c r="M588" s="215">
        <f>J$11</f>
        <v>0</v>
      </c>
      <c r="N588" s="218" t="str">
        <f t="shared" si="90"/>
        <v>low</v>
      </c>
      <c r="O588" s="215">
        <v>20.100000000000001</v>
      </c>
      <c r="P588" s="215" t="s">
        <v>22</v>
      </c>
      <c r="Q588" s="215" t="s">
        <v>717</v>
      </c>
    </row>
    <row r="589" spans="1:17" hidden="1">
      <c r="F589" s="222">
        <v>6</v>
      </c>
      <c r="G589" s="215" t="str">
        <f>IF('Field Info'!A9="","",'Field Info'!A9)</f>
        <v/>
      </c>
      <c r="H589" s="215" t="str">
        <f>IF('Field Info'!B9="","",'Field Info'!B9)</f>
        <v/>
      </c>
      <c r="I589" s="215" t="str">
        <f>IF('Field Info'!A9="","",K$5)</f>
        <v/>
      </c>
      <c r="J589" s="215" t="str">
        <f>IF('Field Info'!A9="","",K$6)</f>
        <v/>
      </c>
      <c r="K589" s="215" t="s">
        <v>3</v>
      </c>
      <c r="L589" s="283">
        <f>K$25</f>
        <v>0</v>
      </c>
      <c r="M589" s="215">
        <f>K$11</f>
        <v>0</v>
      </c>
      <c r="N589" s="218" t="str">
        <f t="shared" si="90"/>
        <v>low</v>
      </c>
    </row>
    <row r="590" spans="1:17" hidden="1">
      <c r="F590" s="222">
        <v>7</v>
      </c>
      <c r="G590" s="215" t="str">
        <f>IF('Field Info'!A10="","",'Field Info'!A10)</f>
        <v/>
      </c>
      <c r="H590" s="215" t="str">
        <f>IF('Field Info'!B10="","",'Field Info'!B10)</f>
        <v/>
      </c>
      <c r="I590" s="215" t="str">
        <f>IF('Field Info'!A10="","",L$5)</f>
        <v/>
      </c>
      <c r="J590" s="215" t="str">
        <f>IF('Field Info'!A10="","",L$6)</f>
        <v/>
      </c>
      <c r="K590" s="215" t="s">
        <v>718</v>
      </c>
      <c r="L590" s="283">
        <f>L$25</f>
        <v>0</v>
      </c>
      <c r="M590" s="215">
        <f>L$11</f>
        <v>0</v>
      </c>
      <c r="N590" s="218" t="str">
        <f t="shared" si="90"/>
        <v>low</v>
      </c>
    </row>
    <row r="591" spans="1:17" hidden="1">
      <c r="F591" s="222">
        <v>8</v>
      </c>
      <c r="G591" s="215" t="str">
        <f>IF('Field Info'!A11="","",'Field Info'!A11)</f>
        <v/>
      </c>
      <c r="H591" s="215" t="str">
        <f>IF('Field Info'!B11="","",'Field Info'!B11)</f>
        <v/>
      </c>
      <c r="I591" s="215" t="str">
        <f>IF('Field Info'!A11="","",M$5)</f>
        <v/>
      </c>
      <c r="J591" s="215" t="str">
        <f>IF('Field Info'!A11="","",M$6)</f>
        <v/>
      </c>
      <c r="K591" s="215" t="s">
        <v>719</v>
      </c>
      <c r="L591" s="283">
        <f>M$25</f>
        <v>0</v>
      </c>
      <c r="M591" s="215">
        <f>M$11</f>
        <v>0</v>
      </c>
      <c r="N591" s="218" t="str">
        <f t="shared" si="90"/>
        <v>low</v>
      </c>
    </row>
    <row r="592" spans="1:17" hidden="1">
      <c r="F592" s="222">
        <v>9</v>
      </c>
      <c r="G592" s="215" t="str">
        <f>IF('Field Info'!A12="","",'Field Info'!A12)</f>
        <v/>
      </c>
      <c r="H592" s="215" t="str">
        <f>IF('Field Info'!B12="","",'Field Info'!B12)</f>
        <v/>
      </c>
      <c r="I592" s="215" t="str">
        <f>IF('Field Info'!A12="","",N$5)</f>
        <v/>
      </c>
      <c r="J592" s="215" t="str">
        <f>IF('Field Info'!A12="","",N$6)</f>
        <v/>
      </c>
      <c r="K592" s="215" t="s">
        <v>1</v>
      </c>
      <c r="L592" s="283">
        <f>N$25</f>
        <v>0</v>
      </c>
      <c r="M592" s="215">
        <f>N$11</f>
        <v>0</v>
      </c>
      <c r="N592" s="218" t="str">
        <f t="shared" si="90"/>
        <v>low</v>
      </c>
    </row>
    <row r="593" spans="6:14" hidden="1">
      <c r="F593" s="222">
        <v>10</v>
      </c>
      <c r="G593" s="215" t="str">
        <f>IF('Field Info'!A13="","",'Field Info'!A13)</f>
        <v/>
      </c>
      <c r="H593" s="215" t="str">
        <f>IF('Field Info'!B13="","",'Field Info'!B13)</f>
        <v/>
      </c>
      <c r="I593" s="215" t="str">
        <f>IF('Field Info'!A13="","",O$5)</f>
        <v/>
      </c>
      <c r="J593" s="215" t="str">
        <f>IF('Field Info'!A13="","",O$6)</f>
        <v/>
      </c>
      <c r="K593" s="215" t="s">
        <v>720</v>
      </c>
      <c r="L593" s="283">
        <f>O$25</f>
        <v>0</v>
      </c>
      <c r="M593" s="215">
        <f>O$11</f>
        <v>0</v>
      </c>
      <c r="N593" s="218" t="str">
        <f t="shared" si="90"/>
        <v>low</v>
      </c>
    </row>
    <row r="594" spans="6:14" hidden="1">
      <c r="F594" s="222">
        <v>11</v>
      </c>
      <c r="G594" s="215" t="str">
        <f>IF('Field Info'!A14="","",'Field Info'!A14)</f>
        <v/>
      </c>
      <c r="H594" s="215" t="str">
        <f>IF('Field Info'!B14="","",'Field Info'!B14)</f>
        <v/>
      </c>
      <c r="I594" s="215" t="str">
        <f>IF('Field Info'!A14="","",P$5)</f>
        <v/>
      </c>
      <c r="J594" s="215" t="str">
        <f>IF('Field Info'!A14="","",P$6)</f>
        <v/>
      </c>
      <c r="K594" s="215" t="s">
        <v>2</v>
      </c>
      <c r="L594" s="283">
        <f>P$25</f>
        <v>0</v>
      </c>
      <c r="M594" s="215">
        <f>P$11</f>
        <v>0</v>
      </c>
      <c r="N594" s="218" t="str">
        <f t="shared" si="90"/>
        <v>low</v>
      </c>
    </row>
    <row r="595" spans="6:14" hidden="1">
      <c r="F595" s="222">
        <v>12</v>
      </c>
      <c r="G595" s="215" t="str">
        <f>IF('Field Info'!A15="","",'Field Info'!A15)</f>
        <v/>
      </c>
      <c r="H595" s="215" t="str">
        <f>IF('Field Info'!B15="","",'Field Info'!B15)</f>
        <v/>
      </c>
      <c r="I595" s="215" t="str">
        <f>IF('Field Info'!A15="","",Q$5)</f>
        <v/>
      </c>
      <c r="J595" s="215" t="str">
        <f>IF('Field Info'!A15="","",Q$6)</f>
        <v/>
      </c>
      <c r="K595" s="215" t="s">
        <v>721</v>
      </c>
      <c r="L595" s="283">
        <f>Q$25</f>
        <v>0</v>
      </c>
      <c r="M595" s="215">
        <f>Q$11</f>
        <v>0</v>
      </c>
      <c r="N595" s="218" t="str">
        <f t="shared" si="90"/>
        <v>low</v>
      </c>
    </row>
    <row r="596" spans="6:14" hidden="1">
      <c r="F596" s="222">
        <v>13</v>
      </c>
      <c r="G596" s="215" t="str">
        <f>IF('Field Info'!A16="","",'Field Info'!A16)</f>
        <v/>
      </c>
      <c r="H596" s="215" t="str">
        <f>IF('Field Info'!B16="","",'Field Info'!B16)</f>
        <v/>
      </c>
      <c r="I596" s="215" t="str">
        <f>IF('Field Info'!A16="","",R$5)</f>
        <v/>
      </c>
      <c r="J596" s="215" t="str">
        <f>IF('Field Info'!A16="","",R$6)</f>
        <v/>
      </c>
      <c r="K596" s="215" t="s">
        <v>722</v>
      </c>
      <c r="L596" s="283">
        <f>R$25</f>
        <v>0</v>
      </c>
      <c r="M596" s="215">
        <f>R$11</f>
        <v>0</v>
      </c>
      <c r="N596" s="218" t="str">
        <f t="shared" si="90"/>
        <v>low</v>
      </c>
    </row>
    <row r="597" spans="6:14" hidden="1">
      <c r="F597" s="222">
        <v>14</v>
      </c>
      <c r="G597" s="215" t="str">
        <f>IF('Field Info'!A17="","",'Field Info'!A17)</f>
        <v/>
      </c>
      <c r="H597" s="215" t="str">
        <f>IF('Field Info'!B17="","",'Field Info'!B17)</f>
        <v/>
      </c>
      <c r="I597" s="215" t="str">
        <f>IF('Field Info'!A17="","",S$5)</f>
        <v/>
      </c>
      <c r="J597" s="215" t="str">
        <f>IF('Field Info'!A17="","",S$6)</f>
        <v/>
      </c>
      <c r="K597" s="215" t="s">
        <v>723</v>
      </c>
      <c r="L597" s="283">
        <f>S$25</f>
        <v>0</v>
      </c>
      <c r="M597" s="215">
        <f>S$11</f>
        <v>0</v>
      </c>
      <c r="N597" s="218" t="str">
        <f t="shared" si="90"/>
        <v>low</v>
      </c>
    </row>
    <row r="598" spans="6:14" hidden="1">
      <c r="F598" s="222">
        <v>15</v>
      </c>
      <c r="G598" s="215" t="str">
        <f>IF('Field Info'!A18="","",'Field Info'!A18)</f>
        <v/>
      </c>
      <c r="H598" s="215" t="str">
        <f>IF('Field Info'!B18="","",'Field Info'!B18)</f>
        <v/>
      </c>
      <c r="I598" s="215" t="str">
        <f>IF('Field Info'!A18="","",T$5)</f>
        <v/>
      </c>
      <c r="J598" s="215" t="str">
        <f>IF('Field Info'!A18="","",T$6)</f>
        <v/>
      </c>
      <c r="K598" s="215" t="s">
        <v>724</v>
      </c>
      <c r="L598" s="283">
        <f>T$25</f>
        <v>0</v>
      </c>
      <c r="M598" s="215">
        <f>T$11</f>
        <v>0</v>
      </c>
      <c r="N598" s="218" t="str">
        <f t="shared" si="90"/>
        <v>low</v>
      </c>
    </row>
    <row r="599" spans="6:14" hidden="1">
      <c r="F599" s="222">
        <v>16</v>
      </c>
      <c r="G599" s="215" t="str">
        <f>IF('Field Info'!A19="","",'Field Info'!A19)</f>
        <v/>
      </c>
      <c r="H599" s="215" t="str">
        <f>IF('Field Info'!B19="","",'Field Info'!B19)</f>
        <v/>
      </c>
      <c r="I599" s="215" t="str">
        <f>IF('Field Info'!A19="","",U$5)</f>
        <v/>
      </c>
      <c r="J599" s="215" t="str">
        <f>IF('Field Info'!A19="","",U$6)</f>
        <v/>
      </c>
      <c r="K599" s="215" t="s">
        <v>725</v>
      </c>
      <c r="L599" s="283">
        <f>U$25</f>
        <v>0</v>
      </c>
      <c r="M599" s="215">
        <f>U$11</f>
        <v>0</v>
      </c>
      <c r="N599" s="218" t="str">
        <f t="shared" si="90"/>
        <v>low</v>
      </c>
    </row>
    <row r="600" spans="6:14" hidden="1">
      <c r="F600" s="222">
        <v>17</v>
      </c>
      <c r="G600" s="215" t="str">
        <f>IF('Field Info'!A20="","",'Field Info'!A20)</f>
        <v/>
      </c>
      <c r="H600" s="215" t="str">
        <f>IF('Field Info'!B20="","",'Field Info'!B20)</f>
        <v/>
      </c>
      <c r="I600" s="215" t="str">
        <f>IF('Field Info'!A20="","",V$5)</f>
        <v/>
      </c>
      <c r="J600" s="215" t="str">
        <f>IF('Field Info'!A20="","",V$6)</f>
        <v/>
      </c>
      <c r="K600" s="215" t="s">
        <v>726</v>
      </c>
      <c r="L600" s="283">
        <f>V$25</f>
        <v>0</v>
      </c>
      <c r="M600" s="215">
        <f>V$11</f>
        <v>0</v>
      </c>
      <c r="N600" s="218" t="str">
        <f t="shared" si="90"/>
        <v>low</v>
      </c>
    </row>
    <row r="601" spans="6:14" hidden="1">
      <c r="F601" s="222">
        <v>18</v>
      </c>
      <c r="G601" s="215" t="str">
        <f>IF('Field Info'!A21="","",'Field Info'!A21)</f>
        <v/>
      </c>
      <c r="H601" s="215" t="str">
        <f>IF('Field Info'!B21="","",'Field Info'!B21)</f>
        <v/>
      </c>
      <c r="I601" s="215" t="str">
        <f>IF('Field Info'!A21="","",W$5)</f>
        <v/>
      </c>
      <c r="J601" s="215" t="str">
        <f>IF('Field Info'!A21="","",W$6)</f>
        <v/>
      </c>
      <c r="K601" s="215" t="s">
        <v>727</v>
      </c>
      <c r="L601" s="283">
        <f>W$25</f>
        <v>0</v>
      </c>
      <c r="M601" s="215">
        <f>W$11</f>
        <v>0</v>
      </c>
      <c r="N601" s="218" t="str">
        <f t="shared" si="90"/>
        <v>low</v>
      </c>
    </row>
    <row r="602" spans="6:14" hidden="1">
      <c r="F602" s="222">
        <v>19</v>
      </c>
      <c r="G602" s="215" t="str">
        <f>IF('Field Info'!A22="","",'Field Info'!A22)</f>
        <v/>
      </c>
      <c r="H602" s="215" t="str">
        <f>IF('Field Info'!B22="","",'Field Info'!B22)</f>
        <v/>
      </c>
      <c r="I602" s="215" t="str">
        <f>IF('Field Info'!A22="","",X$5)</f>
        <v/>
      </c>
      <c r="J602" s="215" t="str">
        <f>IF('Field Info'!A22="","",X$6)</f>
        <v/>
      </c>
      <c r="K602" s="215" t="s">
        <v>728</v>
      </c>
      <c r="L602" s="283">
        <f>X$25</f>
        <v>0</v>
      </c>
      <c r="M602" s="215">
        <f>X$11</f>
        <v>0</v>
      </c>
      <c r="N602" s="218" t="str">
        <f t="shared" si="90"/>
        <v>low</v>
      </c>
    </row>
    <row r="603" spans="6:14" hidden="1">
      <c r="F603" s="222">
        <v>20</v>
      </c>
      <c r="G603" s="215" t="str">
        <f>IF('Field Info'!A23="","",'Field Info'!A23)</f>
        <v/>
      </c>
      <c r="H603" s="215" t="str">
        <f>IF('Field Info'!B23="","",'Field Info'!B23)</f>
        <v/>
      </c>
      <c r="I603" s="215" t="str">
        <f>IF('Field Info'!A23="","",Y$5)</f>
        <v/>
      </c>
      <c r="J603" s="215" t="str">
        <f>IF('Field Info'!A23="","",Y$6)</f>
        <v/>
      </c>
      <c r="K603" s="215" t="s">
        <v>729</v>
      </c>
      <c r="L603" s="283">
        <f>Y$25</f>
        <v>0</v>
      </c>
      <c r="M603" s="215">
        <f>Y$11</f>
        <v>0</v>
      </c>
      <c r="N603" s="218" t="str">
        <f t="shared" si="90"/>
        <v>low</v>
      </c>
    </row>
  </sheetData>
  <sheetProtection sheet="1"/>
  <mergeCells count="2">
    <mergeCell ref="E573:E576"/>
    <mergeCell ref="E578:E580"/>
  </mergeCells>
  <phoneticPr fontId="13" type="noConversion"/>
  <conditionalFormatting sqref="F6:Y6">
    <cfRule type="cellIs" dxfId="62" priority="4" stopIfTrue="1" operator="equal">
      <formula>$B$18</formula>
    </cfRule>
    <cfRule type="cellIs" dxfId="61" priority="5" stopIfTrue="1" operator="equal">
      <formula>$B$19</formula>
    </cfRule>
    <cfRule type="cellIs" dxfId="60" priority="6" stopIfTrue="1" operator="equal">
      <formula>$B$20</formula>
    </cfRule>
  </conditionalFormatting>
  <conditionalFormatting sqref="F5:Y5">
    <cfRule type="cellIs" dxfId="59" priority="1" stopIfTrue="1" operator="greaterThanOrEqual">
      <formula>$C$20+0.5</formula>
    </cfRule>
    <cfRule type="cellIs" dxfId="58" priority="2" stopIfTrue="1" operator="greaterThanOrEqual">
      <formula>$C$19+0.5</formula>
    </cfRule>
    <cfRule type="cellIs" dxfId="57" priority="3" stopIfTrue="1" operator="greaterThanOrEqual">
      <formula>$C$18+0.5</formula>
    </cfRule>
  </conditionalFormatting>
  <dataValidations count="12">
    <dataValidation type="list" allowBlank="1" showInputMessage="1" showErrorMessage="1" sqref="F26:Y26">
      <formula1>IF(F$9=$B$226,Soils_SW,IF(F$9=$B$227,Soils_SE,IF(F$9=$B$228,Soils_NW,IF(F$9=$B$229,Soils_NCent,Soils_NE))))</formula1>
    </dataValidation>
    <dataValidation type="list" allowBlank="1" showInputMessage="1" showErrorMessage="1" sqref="F10:Y10">
      <formula1>$C$225:$E$225</formula1>
    </dataValidation>
    <dataValidation type="list" allowBlank="1" showInputMessage="1" showErrorMessage="1" sqref="F28:Y28">
      <formula1>$B$122:$B$131</formula1>
    </dataValidation>
    <dataValidation type="list" allowBlank="1" showInputMessage="1" showErrorMessage="1" sqref="F21:Y21 F16:Y16">
      <formula1>$B$64:$B$69</formula1>
    </dataValidation>
    <dataValidation allowBlank="1" showInputMessage="1" showErrorMessage="1" sqref="E10"/>
    <dataValidation type="list" allowBlank="1" showInputMessage="1" showErrorMessage="1" sqref="F15:Y15 F20:Y20">
      <formula1>$B$56:$B$61</formula1>
    </dataValidation>
    <dataValidation type="list" allowBlank="1" showInputMessage="1" showErrorMessage="1" sqref="F14:Y14 F19:Y19">
      <formula1>$B$49:$B$53</formula1>
    </dataValidation>
    <dataValidation type="list" allowBlank="1" showInputMessage="1" showErrorMessage="1" sqref="F32:Y32">
      <formula1>$B$196:$B$200</formula1>
    </dataValidation>
    <dataValidation type="list" allowBlank="1" showInputMessage="1" showErrorMessage="1" sqref="F9:Y9">
      <formula1>$B$226:$B$230</formula1>
    </dataValidation>
    <dataValidation type="list" allowBlank="1" showInputMessage="1" showErrorMessage="1" sqref="F24:Y24">
      <formula1>$B$72:$B$80</formula1>
    </dataValidation>
    <dataValidation type="list" allowBlank="1" showInputMessage="1" showErrorMessage="1" sqref="F27:Y27">
      <formula1>$B$119:$B$120</formula1>
    </dataValidation>
    <dataValidation type="list" allowBlank="1" showInputMessage="1" showErrorMessage="1" sqref="E272 A2">
      <formula1>$B$276:$B$458</formula1>
    </dataValidation>
  </dataValidations>
  <pageMargins left="0.25" right="0.25" top="1" bottom="0.5" header="0.3" footer="0.5"/>
  <pageSetup scale="90" fitToHeight="2" orientation="landscape" r:id="rId1"/>
  <headerFooter alignWithMargins="0">
    <oddHeader>&amp;L&amp;D&amp;CVegetable Nutrient Management Planning Workbook&amp;R&amp;G</odd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A7F0C13450154598E6827392649EB8" ma:contentTypeVersion="0" ma:contentTypeDescription="Create a new document." ma:contentTypeScope="" ma:versionID="c2d85ab974a80dd87bcdc13a8d35596f">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C842805-0DD9-4750-BA14-D52A0764B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9863AC8-E9B5-49B7-8DAE-D252A383555F}">
  <ds:schemaRefs>
    <ds:schemaRef ds:uri="http://schemas.microsoft.com/sharepoint/v3/contenttype/forms"/>
  </ds:schemaRefs>
</ds:datastoreItem>
</file>

<file path=customXml/itemProps3.xml><?xml version="1.0" encoding="utf-8"?>
<ds:datastoreItem xmlns:ds="http://schemas.openxmlformats.org/officeDocument/2006/customXml" ds:itemID="{EBCB038C-285C-4625-A075-1F1BDA22FF90}">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55</vt:i4>
      </vt:variant>
    </vt:vector>
  </HeadingPairs>
  <TitlesOfParts>
    <vt:vector size="88" baseType="lpstr">
      <vt:lpstr>Instructions</vt:lpstr>
      <vt:lpstr>PI Instr</vt:lpstr>
      <vt:lpstr>Credits</vt:lpstr>
      <vt:lpstr>Farm Info</vt:lpstr>
      <vt:lpstr>Field Info</vt:lpstr>
      <vt:lpstr>Rotation</vt:lpstr>
      <vt:lpstr>Soil Test Schedule</vt:lpstr>
      <vt:lpstr>Soil Test Results</vt:lpstr>
      <vt:lpstr>VT P Index</vt:lpstr>
      <vt:lpstr>Amend calc</vt:lpstr>
      <vt:lpstr>Amendments</vt:lpstr>
      <vt:lpstr>N Credits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Summary</vt:lpstr>
      <vt:lpstr>'VT P Index'!Base_GS_runoff</vt:lpstr>
      <vt:lpstr>'VT P Index'!Fertilizer_method_timing</vt:lpstr>
      <vt:lpstr>'VT P Index'!Fertilizer_runoff_factor</vt:lpstr>
      <vt:lpstr>GS_adjustment_factor</vt:lpstr>
      <vt:lpstr>'VT P Index'!Manure_incorp</vt:lpstr>
      <vt:lpstr>'VT P Index'!Manure_method</vt:lpstr>
      <vt:lpstr>'VT P Index'!Manure_runoff_factor</vt:lpstr>
      <vt:lpstr>'VT P Index'!Manure_timing</vt:lpstr>
      <vt:lpstr>'VT P Index'!March_snow_eq</vt:lpstr>
      <vt:lpstr>'VT P Index'!Organic_P_Availability_coefficients</vt:lpstr>
      <vt:lpstr>'VT P Index'!Pathway_I_scaling_factor</vt:lpstr>
      <vt:lpstr>'VT P Index'!Pathway_II_scaling_factor</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'6'!Print_Area</vt:lpstr>
      <vt:lpstr>'7'!Print_Area</vt:lpstr>
      <vt:lpstr>'8'!Print_Area</vt:lpstr>
      <vt:lpstr>'9'!Print_Area</vt:lpstr>
      <vt:lpstr>'Farm Info'!Print_Area</vt:lpstr>
      <vt:lpstr>'N Credits'!Print_Area</vt:lpstr>
      <vt:lpstr>Rotation!Print_Area</vt:lpstr>
      <vt:lpstr>'Soil Test Results'!Print_Area</vt:lpstr>
      <vt:lpstr>'VT P Index'!Print_Area</vt:lpstr>
      <vt:lpstr>'Field Info'!Print_Titles</vt:lpstr>
      <vt:lpstr>'VT P Index'!Print_Titles</vt:lpstr>
      <vt:lpstr>'VT P Index'!Sed_trap_factor</vt:lpstr>
      <vt:lpstr>'VT P Index'!Snowmelt_runoff_factor</vt:lpstr>
      <vt:lpstr>'VT P Index'!Soil_hydrologic_group</vt:lpstr>
      <vt:lpstr>'VT P Index'!Soil_series</vt:lpstr>
      <vt:lpstr>'VT P Index'!Soils_NCent</vt:lpstr>
      <vt:lpstr>'VT P Index'!Soils_NE</vt:lpstr>
      <vt:lpstr>'VT P Index'!Soils_NW</vt:lpstr>
      <vt:lpstr>'VT P Index'!Soils_SE</vt:lpstr>
      <vt:lpstr>'VT P Index'!Soils_SW</vt:lpstr>
      <vt:lpstr>'VT P Index'!Surface_cover</vt:lpstr>
      <vt:lpstr>'VT P Index'!TP_availability_factor</vt:lpstr>
      <vt:lpstr>'VT P Index'!TP_Intercept</vt:lpstr>
      <vt:lpstr>'VT P Index'!TP_maximum</vt:lpstr>
      <vt:lpstr>'VT P Index'!TP_Slope</vt:lpstr>
      <vt:lpstr>'VT P Index'!Uptake</vt:lpstr>
      <vt:lpstr>'VT P Index'!Vegetation_type</vt:lpstr>
    </vt:vector>
  </TitlesOfParts>
  <Company>University of Vermont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Hills</dc:creator>
  <cp:lastModifiedBy> </cp:lastModifiedBy>
  <cp:lastPrinted>2010-02-08T21:06:34Z</cp:lastPrinted>
  <dcterms:created xsi:type="dcterms:W3CDTF">2007-11-14T20:38:43Z</dcterms:created>
  <dcterms:modified xsi:type="dcterms:W3CDTF">2010-03-31T14:56:01Z</dcterms:modified>
</cp:coreProperties>
</file>