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bookViews>
    <workbookView xWindow="0" yWindow="0" windowWidth="34770" windowHeight="15765" tabRatio="746" firstSheet="1" activeTab="1"/>
  </bookViews>
  <sheets>
    <sheet name="Sheet1" sheetId="1" state="hidden" r:id="rId1"/>
    <sheet name="NIFA F&amp;A Calculator (Proposal)" sheetId="4" r:id="rId2"/>
    <sheet name="Subaward&amp;Exclusion Worksheet" sheetId="2" r:id="rId3"/>
    <sheet name="NIFA F&amp;A Calculator (Award)" sheetId="3" r:id="rId4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0" i="4" l="1"/>
  <c r="B651" i="4"/>
  <c r="B7" i="2" l="1"/>
  <c r="B5" i="2"/>
  <c r="G15" i="2" l="1"/>
  <c r="G16" i="2"/>
  <c r="G17" i="2"/>
  <c r="G18" i="2"/>
  <c r="G19" i="2"/>
  <c r="G20" i="2"/>
  <c r="G21" i="2"/>
  <c r="G22" i="2"/>
  <c r="G23" i="2"/>
  <c r="G14" i="2"/>
  <c r="G24" i="2" s="1"/>
  <c r="B7" i="4" l="1"/>
  <c r="B10" i="3"/>
  <c r="F7" i="2"/>
  <c r="E7" i="2"/>
  <c r="F5" i="2"/>
  <c r="E5" i="2"/>
  <c r="D7" i="2"/>
  <c r="C7" i="2"/>
  <c r="D5" i="2"/>
  <c r="C5" i="2" l="1"/>
  <c r="G5" i="2" l="1"/>
  <c r="H5" i="2"/>
  <c r="I5" i="2"/>
  <c r="J5" i="2"/>
  <c r="K5" i="2"/>
  <c r="L5" i="2"/>
  <c r="M5" i="2"/>
  <c r="N5" i="2"/>
  <c r="O5" i="2"/>
  <c r="P5" i="2"/>
  <c r="B19" i="3"/>
  <c r="B620" i="4"/>
  <c r="B619" i="4"/>
  <c r="B589" i="4"/>
  <c r="B588" i="4"/>
  <c r="B558" i="4"/>
  <c r="B557" i="4"/>
  <c r="B527" i="4"/>
  <c r="B526" i="4"/>
  <c r="B496" i="4"/>
  <c r="B495" i="4"/>
  <c r="B465" i="4"/>
  <c r="B464" i="4"/>
  <c r="B434" i="4"/>
  <c r="B433" i="4"/>
  <c r="B403" i="4"/>
  <c r="B402" i="4"/>
  <c r="B372" i="4"/>
  <c r="B371" i="4"/>
  <c r="B341" i="4"/>
  <c r="B340" i="4"/>
  <c r="B310" i="4"/>
  <c r="B309" i="4"/>
  <c r="B279" i="4"/>
  <c r="B278" i="4"/>
  <c r="B248" i="4"/>
  <c r="B247" i="4"/>
  <c r="B217" i="4"/>
  <c r="B216" i="4"/>
  <c r="B186" i="4"/>
  <c r="B185" i="4"/>
  <c r="B155" i="4"/>
  <c r="B154" i="4"/>
  <c r="B124" i="4"/>
  <c r="B123" i="4"/>
  <c r="B93" i="4"/>
  <c r="B92" i="4"/>
  <c r="B62" i="4"/>
  <c r="B61" i="4"/>
  <c r="B31" i="4"/>
  <c r="B30" i="4"/>
  <c r="B669" i="4" l="1"/>
  <c r="B636" i="4"/>
  <c r="B605" i="4"/>
  <c r="B574" i="4"/>
  <c r="B543" i="4"/>
  <c r="B512" i="4"/>
  <c r="B481" i="4"/>
  <c r="B450" i="4"/>
  <c r="B419" i="4"/>
  <c r="B388" i="4"/>
  <c r="B357" i="4"/>
  <c r="B326" i="4"/>
  <c r="B295" i="4"/>
  <c r="B264" i="4"/>
  <c r="B233" i="4"/>
  <c r="B202" i="4"/>
  <c r="B171" i="4"/>
  <c r="B140" i="4"/>
  <c r="B109" i="4"/>
  <c r="B78" i="4"/>
  <c r="B47" i="4"/>
  <c r="B18" i="4"/>
  <c r="B10" i="4"/>
  <c r="B11" i="4" s="1"/>
  <c r="B16" i="4" s="1"/>
  <c r="B36" i="4"/>
  <c r="B67" i="4" s="1"/>
  <c r="B35" i="4"/>
  <c r="B66" i="4" l="1"/>
  <c r="B97" i="4" s="1"/>
  <c r="B128" i="4" s="1"/>
  <c r="B159" i="4" s="1"/>
  <c r="B190" i="4" s="1"/>
  <c r="B221" i="4" s="1"/>
  <c r="B252" i="4" s="1"/>
  <c r="B283" i="4" s="1"/>
  <c r="B314" i="4" s="1"/>
  <c r="B345" i="4" s="1"/>
  <c r="B376" i="4" s="1"/>
  <c r="B407" i="4" s="1"/>
  <c r="B438" i="4" s="1"/>
  <c r="B469" i="4" s="1"/>
  <c r="B500" i="4" s="1"/>
  <c r="B531" i="4" s="1"/>
  <c r="B562" i="4" s="1"/>
  <c r="B593" i="4" s="1"/>
  <c r="B624" i="4" s="1"/>
  <c r="B655" i="4" s="1"/>
  <c r="B98" i="4"/>
  <c r="C10" i="4"/>
  <c r="H7" i="2"/>
  <c r="I7" i="2"/>
  <c r="K7" i="2"/>
  <c r="L7" i="2"/>
  <c r="M7" i="2"/>
  <c r="P7" i="2"/>
  <c r="B129" i="4" l="1"/>
  <c r="O7" i="2"/>
  <c r="G7" i="2"/>
  <c r="N7" i="2"/>
  <c r="J7" i="2"/>
  <c r="B11" i="3" l="1"/>
  <c r="B8" i="4"/>
  <c r="B160" i="4"/>
  <c r="B9" i="4" l="1"/>
  <c r="B37" i="4"/>
  <c r="B191" i="4"/>
  <c r="B68" i="4" l="1"/>
  <c r="B99" i="4" s="1"/>
  <c r="B130" i="4" s="1"/>
  <c r="B161" i="4" s="1"/>
  <c r="B17" i="4"/>
  <c r="B38" i="4"/>
  <c r="B222" i="4"/>
  <c r="B46" i="4" l="1"/>
  <c r="B48" i="4" s="1"/>
  <c r="B69" i="4"/>
  <c r="B20" i="4"/>
  <c r="B19" i="4"/>
  <c r="B253" i="4"/>
  <c r="B192" i="4"/>
  <c r="C20" i="4" l="1"/>
  <c r="B21" i="4"/>
  <c r="B39" i="4"/>
  <c r="B77" i="4"/>
  <c r="B79" i="4" s="1"/>
  <c r="B100" i="4"/>
  <c r="B223" i="4"/>
  <c r="B284" i="4"/>
  <c r="B40" i="4" l="1"/>
  <c r="B41" i="4" s="1"/>
  <c r="B45" i="4" s="1"/>
  <c r="B49" i="4" s="1"/>
  <c r="B25" i="4"/>
  <c r="B24" i="4"/>
  <c r="B22" i="4"/>
  <c r="B27" i="4" s="1"/>
  <c r="B108" i="4"/>
  <c r="B110" i="4" s="1"/>
  <c r="B131" i="4"/>
  <c r="B315" i="4"/>
  <c r="B254" i="4"/>
  <c r="B56" i="4" l="1"/>
  <c r="B70" i="4"/>
  <c r="C49" i="4"/>
  <c r="B50" i="4"/>
  <c r="B162" i="4"/>
  <c r="B139" i="4"/>
  <c r="B141" i="4" s="1"/>
  <c r="C39" i="4"/>
  <c r="B346" i="4"/>
  <c r="B285" i="4"/>
  <c r="B57" i="4" l="1"/>
  <c r="B71" i="4"/>
  <c r="B72" i="4" s="1"/>
  <c r="B76" i="4" s="1"/>
  <c r="B80" i="4" s="1"/>
  <c r="B54" i="4"/>
  <c r="B53" i="4"/>
  <c r="B51" i="4"/>
  <c r="B58" i="4" s="1"/>
  <c r="B170" i="4"/>
  <c r="B172" i="4" s="1"/>
  <c r="B193" i="4"/>
  <c r="B316" i="4"/>
  <c r="B377" i="4"/>
  <c r="C70" i="4" l="1"/>
  <c r="B201" i="4"/>
  <c r="B203" i="4" s="1"/>
  <c r="B224" i="4"/>
  <c r="B81" i="4"/>
  <c r="C80" i="4"/>
  <c r="B87" i="4"/>
  <c r="B101" i="4"/>
  <c r="B347" i="4"/>
  <c r="B408" i="4"/>
  <c r="B102" i="4" l="1"/>
  <c r="B103" i="4" s="1"/>
  <c r="B107" i="4" s="1"/>
  <c r="B111" i="4" s="1"/>
  <c r="B84" i="4"/>
  <c r="B88" i="4"/>
  <c r="B85" i="4"/>
  <c r="B82" i="4"/>
  <c r="B89" i="4" s="1"/>
  <c r="B255" i="4"/>
  <c r="B232" i="4"/>
  <c r="B234" i="4" s="1"/>
  <c r="B439" i="4"/>
  <c r="B378" i="4"/>
  <c r="C101" i="4" l="1"/>
  <c r="B263" i="4"/>
  <c r="B265" i="4" s="1"/>
  <c r="B286" i="4"/>
  <c r="B132" i="4"/>
  <c r="B118" i="4"/>
  <c r="C111" i="4"/>
  <c r="B112" i="4"/>
  <c r="B409" i="4"/>
  <c r="B470" i="4"/>
  <c r="B116" i="4" l="1"/>
  <c r="B113" i="4"/>
  <c r="B120" i="4" s="1"/>
  <c r="B133" i="4"/>
  <c r="B134" i="4" s="1"/>
  <c r="B138" i="4" s="1"/>
  <c r="B142" i="4" s="1"/>
  <c r="B119" i="4"/>
  <c r="B115" i="4"/>
  <c r="B294" i="4"/>
  <c r="B296" i="4" s="1"/>
  <c r="B317" i="4"/>
  <c r="B501" i="4"/>
  <c r="B440" i="4"/>
  <c r="B163" i="4" l="1"/>
  <c r="C142" i="4"/>
  <c r="B149" i="4"/>
  <c r="B143" i="4"/>
  <c r="B325" i="4"/>
  <c r="B327" i="4" s="1"/>
  <c r="B348" i="4"/>
  <c r="C132" i="4"/>
  <c r="B471" i="4"/>
  <c r="B532" i="4"/>
  <c r="B146" i="4" l="1"/>
  <c r="B150" i="4"/>
  <c r="B164" i="4"/>
  <c r="B165" i="4" s="1"/>
  <c r="B169" i="4" s="1"/>
  <c r="B173" i="4" s="1"/>
  <c r="B147" i="4"/>
  <c r="B144" i="4"/>
  <c r="B151" i="4" s="1"/>
  <c r="B356" i="4"/>
  <c r="B358" i="4" s="1"/>
  <c r="B379" i="4"/>
  <c r="B502" i="4"/>
  <c r="B563" i="4"/>
  <c r="C163" i="4" l="1"/>
  <c r="B410" i="4"/>
  <c r="B387" i="4"/>
  <c r="B389" i="4" s="1"/>
  <c r="C173" i="4"/>
  <c r="B194" i="4"/>
  <c r="B174" i="4"/>
  <c r="B180" i="4"/>
  <c r="B533" i="4"/>
  <c r="B594" i="4"/>
  <c r="B178" i="4" l="1"/>
  <c r="B181" i="4"/>
  <c r="B195" i="4"/>
  <c r="B196" i="4" s="1"/>
  <c r="B200" i="4" s="1"/>
  <c r="B204" i="4" s="1"/>
  <c r="B177" i="4"/>
  <c r="B175" i="4"/>
  <c r="B182" i="4" s="1"/>
  <c r="B418" i="4"/>
  <c r="B420" i="4" s="1"/>
  <c r="B441" i="4"/>
  <c r="B564" i="4"/>
  <c r="B625" i="4"/>
  <c r="C194" i="4" l="1"/>
  <c r="B472" i="4"/>
  <c r="B449" i="4"/>
  <c r="B451" i="4" s="1"/>
  <c r="C204" i="4"/>
  <c r="B225" i="4"/>
  <c r="B205" i="4"/>
  <c r="B211" i="4"/>
  <c r="B656" i="4"/>
  <c r="B595" i="4"/>
  <c r="B212" i="4" l="1"/>
  <c r="B226" i="4"/>
  <c r="B227" i="4" s="1"/>
  <c r="B231" i="4" s="1"/>
  <c r="B235" i="4" s="1"/>
  <c r="B209" i="4"/>
  <c r="B206" i="4"/>
  <c r="B213" i="4" s="1"/>
  <c r="B208" i="4"/>
  <c r="B503" i="4"/>
  <c r="B480" i="4"/>
  <c r="B482" i="4" s="1"/>
  <c r="B626" i="4"/>
  <c r="B256" i="4" l="1"/>
  <c r="B242" i="4"/>
  <c r="B236" i="4"/>
  <c r="C235" i="4"/>
  <c r="B511" i="4"/>
  <c r="B513" i="4" s="1"/>
  <c r="B534" i="4"/>
  <c r="C225" i="4"/>
  <c r="B657" i="4"/>
  <c r="B240" i="4" l="1"/>
  <c r="B237" i="4"/>
  <c r="B244" i="4" s="1"/>
  <c r="B257" i="4"/>
  <c r="B258" i="4" s="1"/>
  <c r="B262" i="4" s="1"/>
  <c r="B266" i="4" s="1"/>
  <c r="B239" i="4"/>
  <c r="B243" i="4"/>
  <c r="B542" i="4"/>
  <c r="B544" i="4" s="1"/>
  <c r="B565" i="4"/>
  <c r="C256" i="4" l="1"/>
  <c r="B573" i="4"/>
  <c r="B575" i="4" s="1"/>
  <c r="B596" i="4"/>
  <c r="B267" i="4"/>
  <c r="B287" i="4"/>
  <c r="B273" i="4"/>
  <c r="C266" i="4"/>
  <c r="B604" i="4" l="1"/>
  <c r="B606" i="4" s="1"/>
  <c r="B627" i="4"/>
  <c r="B274" i="4"/>
  <c r="B288" i="4"/>
  <c r="B289" i="4" s="1"/>
  <c r="B293" i="4" s="1"/>
  <c r="B297" i="4" s="1"/>
  <c r="B271" i="4"/>
  <c r="B268" i="4"/>
  <c r="B275" i="4" s="1"/>
  <c r="B270" i="4"/>
  <c r="C287" i="4" l="1"/>
  <c r="B658" i="4"/>
  <c r="B668" i="4" s="1"/>
  <c r="B670" i="4" s="1"/>
  <c r="B635" i="4"/>
  <c r="B637" i="4" s="1"/>
  <c r="C297" i="4"/>
  <c r="B304" i="4"/>
  <c r="B298" i="4"/>
  <c r="B318" i="4"/>
  <c r="B299" i="4" l="1"/>
  <c r="B306" i="4" s="1"/>
  <c r="B305" i="4"/>
  <c r="B319" i="4"/>
  <c r="B320" i="4" s="1"/>
  <c r="B324" i="4" s="1"/>
  <c r="B328" i="4" s="1"/>
  <c r="B301" i="4"/>
  <c r="B302" i="4"/>
  <c r="B349" i="4" l="1"/>
  <c r="B329" i="4"/>
  <c r="B335" i="4"/>
  <c r="C328" i="4"/>
  <c r="C318" i="4"/>
  <c r="B333" i="4" l="1"/>
  <c r="B330" i="4"/>
  <c r="B337" i="4" s="1"/>
  <c r="B332" i="4"/>
  <c r="B350" i="4"/>
  <c r="B351" i="4" s="1"/>
  <c r="B355" i="4" s="1"/>
  <c r="B359" i="4" s="1"/>
  <c r="B336" i="4"/>
  <c r="B366" i="4" l="1"/>
  <c r="B360" i="4"/>
  <c r="C359" i="4"/>
  <c r="B380" i="4"/>
  <c r="C349" i="4"/>
  <c r="B361" i="4" l="1"/>
  <c r="B368" i="4" s="1"/>
  <c r="B363" i="4"/>
  <c r="B367" i="4"/>
  <c r="B381" i="4"/>
  <c r="B382" i="4" s="1"/>
  <c r="B386" i="4" s="1"/>
  <c r="B390" i="4" s="1"/>
  <c r="B364" i="4"/>
  <c r="BN6" i="1"/>
  <c r="BN4" i="1"/>
  <c r="B34" i="1"/>
  <c r="B27" i="1"/>
  <c r="C390" i="4" l="1"/>
  <c r="B411" i="4"/>
  <c r="B397" i="4"/>
  <c r="B391" i="4"/>
  <c r="C380" i="4"/>
  <c r="E13" i="1"/>
  <c r="E34" i="1" s="1"/>
  <c r="E4" i="1"/>
  <c r="H4" i="1" s="1"/>
  <c r="K4" i="1" s="1"/>
  <c r="N4" i="1" s="1"/>
  <c r="Q4" i="1" s="1"/>
  <c r="T4" i="1" s="1"/>
  <c r="W4" i="1" s="1"/>
  <c r="Z4" i="1" s="1"/>
  <c r="AC4" i="1" s="1"/>
  <c r="AF4" i="1" s="1"/>
  <c r="AI4" i="1" s="1"/>
  <c r="AL4" i="1" s="1"/>
  <c r="AO4" i="1" s="1"/>
  <c r="AR4" i="1" s="1"/>
  <c r="AU4" i="1" s="1"/>
  <c r="AX4" i="1" s="1"/>
  <c r="BA4" i="1" s="1"/>
  <c r="BD4" i="1" s="1"/>
  <c r="BG4" i="1" s="1"/>
  <c r="BO4" i="1" s="1"/>
  <c r="BO12" i="1" s="1"/>
  <c r="E6" i="1"/>
  <c r="E27" i="1" s="1"/>
  <c r="B14" i="1"/>
  <c r="E14" i="1" s="1"/>
  <c r="E35" i="1" s="1"/>
  <c r="B8" i="1"/>
  <c r="B394" i="4" l="1"/>
  <c r="B412" i="4"/>
  <c r="B413" i="4" s="1"/>
  <c r="B417" i="4" s="1"/>
  <c r="B421" i="4" s="1"/>
  <c r="B398" i="4"/>
  <c r="B395" i="4"/>
  <c r="B392" i="4"/>
  <c r="B399" i="4" s="1"/>
  <c r="H13" i="1"/>
  <c r="H34" i="1" s="1"/>
  <c r="H6" i="1"/>
  <c r="H14" i="1"/>
  <c r="K13" i="1"/>
  <c r="B15" i="1"/>
  <c r="B5" i="1" s="1"/>
  <c r="BN5" i="1" s="1"/>
  <c r="B35" i="1"/>
  <c r="B18" i="1"/>
  <c r="C411" i="4" l="1"/>
  <c r="C421" i="4"/>
  <c r="B422" i="4"/>
  <c r="B442" i="4"/>
  <c r="B428" i="4"/>
  <c r="H27" i="1"/>
  <c r="K6" i="1"/>
  <c r="B36" i="1"/>
  <c r="E15" i="1"/>
  <c r="N13" i="1"/>
  <c r="K34" i="1"/>
  <c r="H35" i="1"/>
  <c r="K14" i="1"/>
  <c r="B9" i="1"/>
  <c r="B429" i="4" l="1"/>
  <c r="B426" i="4"/>
  <c r="B425" i="4"/>
  <c r="B443" i="4"/>
  <c r="B444" i="4" s="1"/>
  <c r="B448" i="4" s="1"/>
  <c r="B452" i="4" s="1"/>
  <c r="B423" i="4"/>
  <c r="B430" i="4" s="1"/>
  <c r="K27" i="1"/>
  <c r="N6" i="1"/>
  <c r="Q13" i="1"/>
  <c r="N34" i="1"/>
  <c r="N14" i="1"/>
  <c r="K35" i="1"/>
  <c r="E36" i="1"/>
  <c r="H15" i="1"/>
  <c r="B7" i="1"/>
  <c r="BN7" i="1" s="1"/>
  <c r="B26" i="1"/>
  <c r="E5" i="1"/>
  <c r="B31" i="1"/>
  <c r="C8" i="1"/>
  <c r="C452" i="4" l="1"/>
  <c r="B473" i="4"/>
  <c r="B453" i="4"/>
  <c r="B459" i="4"/>
  <c r="C442" i="4"/>
  <c r="N27" i="1"/>
  <c r="Q6" i="1"/>
  <c r="B19" i="1"/>
  <c r="B20" i="1" s="1"/>
  <c r="B21" i="1" s="1"/>
  <c r="B22" i="1" s="1"/>
  <c r="E7" i="1"/>
  <c r="N35" i="1"/>
  <c r="Q14" i="1"/>
  <c r="H36" i="1"/>
  <c r="K15" i="1"/>
  <c r="E26" i="1"/>
  <c r="H5" i="1"/>
  <c r="Q34" i="1"/>
  <c r="T13" i="1"/>
  <c r="B39" i="1"/>
  <c r="B460" i="4" l="1"/>
  <c r="B474" i="4"/>
  <c r="B475" i="4" s="1"/>
  <c r="B479" i="4" s="1"/>
  <c r="B483" i="4" s="1"/>
  <c r="B457" i="4"/>
  <c r="B454" i="4"/>
  <c r="B461" i="4" s="1"/>
  <c r="B456" i="4"/>
  <c r="T6" i="1"/>
  <c r="Q27" i="1"/>
  <c r="BN9" i="1"/>
  <c r="BN10" i="1" s="1"/>
  <c r="BN8" i="1"/>
  <c r="W13" i="1"/>
  <c r="T34" i="1"/>
  <c r="K36" i="1"/>
  <c r="N15" i="1"/>
  <c r="H7" i="1"/>
  <c r="E19" i="1"/>
  <c r="C20" i="1"/>
  <c r="B29" i="1"/>
  <c r="E8" i="1"/>
  <c r="H26" i="1"/>
  <c r="K5" i="1"/>
  <c r="Q35" i="1"/>
  <c r="T14" i="1"/>
  <c r="C473" i="4" l="1"/>
  <c r="B504" i="4"/>
  <c r="B484" i="4"/>
  <c r="B490" i="4"/>
  <c r="C483" i="4"/>
  <c r="T27" i="1"/>
  <c r="W6" i="1"/>
  <c r="B30" i="1"/>
  <c r="B25" i="1" s="1"/>
  <c r="C29" i="1"/>
  <c r="N36" i="1"/>
  <c r="Q15" i="1"/>
  <c r="K26" i="1"/>
  <c r="N5" i="1"/>
  <c r="W14" i="1"/>
  <c r="T35" i="1"/>
  <c r="E9" i="1"/>
  <c r="E10" i="1" s="1"/>
  <c r="F8" i="1" s="1"/>
  <c r="H19" i="1"/>
  <c r="K7" i="1"/>
  <c r="Z13" i="1"/>
  <c r="W34" i="1"/>
  <c r="B491" i="4" l="1"/>
  <c r="B505" i="4"/>
  <c r="B506" i="4" s="1"/>
  <c r="B510" i="4" s="1"/>
  <c r="B514" i="4" s="1"/>
  <c r="B487" i="4"/>
  <c r="B488" i="4"/>
  <c r="B485" i="4"/>
  <c r="B492" i="4" s="1"/>
  <c r="Z6" i="1"/>
  <c r="W27" i="1"/>
  <c r="Q5" i="1"/>
  <c r="N26" i="1"/>
  <c r="K19" i="1"/>
  <c r="N7" i="1"/>
  <c r="T15" i="1"/>
  <c r="Q36" i="1"/>
  <c r="Z14" i="1"/>
  <c r="W35" i="1"/>
  <c r="AC13" i="1"/>
  <c r="Z34" i="1"/>
  <c r="E31" i="1"/>
  <c r="E39" i="1" s="1"/>
  <c r="E18" i="1"/>
  <c r="E20" i="1" s="1"/>
  <c r="E11" i="1"/>
  <c r="B28" i="1"/>
  <c r="B40" i="1" s="1"/>
  <c r="B41" i="1" s="1"/>
  <c r="B43" i="1"/>
  <c r="C504" i="4" l="1"/>
  <c r="B521" i="4"/>
  <c r="B535" i="4"/>
  <c r="C514" i="4"/>
  <c r="B515" i="4"/>
  <c r="Z27" i="1"/>
  <c r="AC6" i="1"/>
  <c r="Z35" i="1"/>
  <c r="AC14" i="1"/>
  <c r="H8" i="1"/>
  <c r="E21" i="1"/>
  <c r="F20" i="1"/>
  <c r="E29" i="1"/>
  <c r="N19" i="1"/>
  <c r="Q7" i="1"/>
  <c r="B44" i="1"/>
  <c r="C41" i="1"/>
  <c r="AC34" i="1"/>
  <c r="AF13" i="1"/>
  <c r="W15" i="1"/>
  <c r="T36" i="1"/>
  <c r="T5" i="1"/>
  <c r="Q26" i="1"/>
  <c r="B522" i="4" l="1"/>
  <c r="B536" i="4"/>
  <c r="B537" i="4" s="1"/>
  <c r="B541" i="4" s="1"/>
  <c r="B545" i="4" s="1"/>
  <c r="B519" i="4"/>
  <c r="B516" i="4"/>
  <c r="B523" i="4" s="1"/>
  <c r="B518" i="4"/>
  <c r="AC27" i="1"/>
  <c r="AF6" i="1"/>
  <c r="AI13" i="1"/>
  <c r="AF34" i="1"/>
  <c r="Q19" i="1"/>
  <c r="T7" i="1"/>
  <c r="W5" i="1"/>
  <c r="T26" i="1"/>
  <c r="H9" i="1"/>
  <c r="H10" i="1" s="1"/>
  <c r="I8" i="1" s="1"/>
  <c r="E30" i="1"/>
  <c r="E25" i="1" s="1"/>
  <c r="F29" i="1"/>
  <c r="AC35" i="1"/>
  <c r="AF14" i="1"/>
  <c r="W36" i="1"/>
  <c r="Z15" i="1"/>
  <c r="B552" i="4" l="1"/>
  <c r="C545" i="4"/>
  <c r="B566" i="4"/>
  <c r="B546" i="4"/>
  <c r="C535" i="4"/>
  <c r="AF27" i="1"/>
  <c r="AI6" i="1"/>
  <c r="AI14" i="1"/>
  <c r="AF35" i="1"/>
  <c r="T19" i="1"/>
  <c r="W7" i="1"/>
  <c r="H11" i="1"/>
  <c r="H31" i="1"/>
  <c r="H39" i="1" s="1"/>
  <c r="H18" i="1"/>
  <c r="H20" i="1" s="1"/>
  <c r="Z36" i="1"/>
  <c r="AC15" i="1"/>
  <c r="E28" i="1"/>
  <c r="E40" i="1" s="1"/>
  <c r="E41" i="1" s="1"/>
  <c r="E43" i="1"/>
  <c r="W26" i="1"/>
  <c r="Z5" i="1"/>
  <c r="AL13" i="1"/>
  <c r="AI34" i="1"/>
  <c r="B553" i="4" l="1"/>
  <c r="B550" i="4"/>
  <c r="B549" i="4"/>
  <c r="B547" i="4"/>
  <c r="B554" i="4" s="1"/>
  <c r="B567" i="4"/>
  <c r="B568" i="4" s="1"/>
  <c r="B572" i="4" s="1"/>
  <c r="B576" i="4" s="1"/>
  <c r="AI27" i="1"/>
  <c r="AL6" i="1"/>
  <c r="Z7" i="1"/>
  <c r="W19" i="1"/>
  <c r="I20" i="1"/>
  <c r="H21" i="1"/>
  <c r="H29" i="1"/>
  <c r="K8" i="1"/>
  <c r="AO13" i="1"/>
  <c r="AL34" i="1"/>
  <c r="E44" i="1"/>
  <c r="F41" i="1"/>
  <c r="Z26" i="1"/>
  <c r="AC5" i="1"/>
  <c r="AF15" i="1"/>
  <c r="AC36" i="1"/>
  <c r="AL14" i="1"/>
  <c r="AI35" i="1"/>
  <c r="B583" i="4" l="1"/>
  <c r="C576" i="4"/>
  <c r="B597" i="4"/>
  <c r="B577" i="4"/>
  <c r="C566" i="4"/>
  <c r="AL27" i="1"/>
  <c r="AO6" i="1"/>
  <c r="K9" i="1"/>
  <c r="K10" i="1" s="1"/>
  <c r="L8" i="1"/>
  <c r="AI15" i="1"/>
  <c r="AF36" i="1"/>
  <c r="I29" i="1"/>
  <c r="H30" i="1"/>
  <c r="H25" i="1" s="1"/>
  <c r="Z19" i="1"/>
  <c r="AC7" i="1"/>
  <c r="AF5" i="1"/>
  <c r="AC26" i="1"/>
  <c r="AL35" i="1"/>
  <c r="AO14" i="1"/>
  <c r="AO34" i="1"/>
  <c r="AR13" i="1"/>
  <c r="B598" i="4" l="1"/>
  <c r="B599" i="4" s="1"/>
  <c r="B603" i="4" s="1"/>
  <c r="B607" i="4" s="1"/>
  <c r="B580" i="4"/>
  <c r="B584" i="4"/>
  <c r="B581" i="4"/>
  <c r="B578" i="4"/>
  <c r="B585" i="4" s="1"/>
  <c r="AO27" i="1"/>
  <c r="AR6" i="1"/>
  <c r="AU13" i="1"/>
  <c r="AR34" i="1"/>
  <c r="H28" i="1"/>
  <c r="H40" i="1" s="1"/>
  <c r="H41" i="1" s="1"/>
  <c r="H43" i="1"/>
  <c r="AI5" i="1"/>
  <c r="AF26" i="1"/>
  <c r="K18" i="1"/>
  <c r="K20" i="1" s="1"/>
  <c r="K11" i="1"/>
  <c r="K31" i="1"/>
  <c r="K39" i="1" s="1"/>
  <c r="AO35" i="1"/>
  <c r="AR14" i="1"/>
  <c r="AF7" i="1"/>
  <c r="AC19" i="1"/>
  <c r="AI36" i="1"/>
  <c r="AL15" i="1"/>
  <c r="C597" i="4" l="1"/>
  <c r="B614" i="4"/>
  <c r="C607" i="4"/>
  <c r="B608" i="4"/>
  <c r="B628" i="4"/>
  <c r="AR27" i="1"/>
  <c r="AU6" i="1"/>
  <c r="AI26" i="1"/>
  <c r="AL5" i="1"/>
  <c r="AX13" i="1"/>
  <c r="AU34" i="1"/>
  <c r="AI7" i="1"/>
  <c r="AF19" i="1"/>
  <c r="AO15" i="1"/>
  <c r="AL36" i="1"/>
  <c r="AU14" i="1"/>
  <c r="AR35" i="1"/>
  <c r="N8" i="1"/>
  <c r="K21" i="1"/>
  <c r="L20" i="1"/>
  <c r="K29" i="1"/>
  <c r="H44" i="1"/>
  <c r="I41" i="1"/>
  <c r="B629" i="4" l="1"/>
  <c r="B630" i="4" s="1"/>
  <c r="B634" i="4" s="1"/>
  <c r="B638" i="4" s="1"/>
  <c r="B659" i="4" s="1"/>
  <c r="B609" i="4"/>
  <c r="B616" i="4" s="1"/>
  <c r="B615" i="4"/>
  <c r="B611" i="4"/>
  <c r="B612" i="4"/>
  <c r="AU27" i="1"/>
  <c r="AX6" i="1"/>
  <c r="K30" i="1"/>
  <c r="K25" i="1" s="1"/>
  <c r="L29" i="1"/>
  <c r="AL26" i="1"/>
  <c r="AO5" i="1"/>
  <c r="AX14" i="1"/>
  <c r="AU35" i="1"/>
  <c r="AI19" i="1"/>
  <c r="AL7" i="1"/>
  <c r="N9" i="1"/>
  <c r="N10" i="1" s="1"/>
  <c r="O8" i="1" s="1"/>
  <c r="AR15" i="1"/>
  <c r="AO36" i="1"/>
  <c r="BA13" i="1"/>
  <c r="AX34" i="1"/>
  <c r="C628" i="4" l="1"/>
  <c r="B639" i="4"/>
  <c r="B645" i="4"/>
  <c r="C638" i="4"/>
  <c r="AX27" i="1"/>
  <c r="BA6" i="1"/>
  <c r="BA34" i="1"/>
  <c r="BD13" i="1"/>
  <c r="N18" i="1"/>
  <c r="N20" i="1" s="1"/>
  <c r="N11" i="1"/>
  <c r="N31" i="1"/>
  <c r="N39" i="1" s="1"/>
  <c r="AX35" i="1"/>
  <c r="BA14" i="1"/>
  <c r="K43" i="1"/>
  <c r="K28" i="1"/>
  <c r="K40" i="1" s="1"/>
  <c r="K41" i="1" s="1"/>
  <c r="AL19" i="1"/>
  <c r="AO7" i="1"/>
  <c r="AR5" i="1"/>
  <c r="AO26" i="1"/>
  <c r="AU15" i="1"/>
  <c r="AR36" i="1"/>
  <c r="B642" i="4" l="1"/>
  <c r="B640" i="4"/>
  <c r="B647" i="4" s="1"/>
  <c r="B646" i="4"/>
  <c r="B660" i="4"/>
  <c r="B661" i="4" s="1"/>
  <c r="B662" i="4" s="1"/>
  <c r="B643" i="4"/>
  <c r="BA27" i="1"/>
  <c r="BD6" i="1"/>
  <c r="AU36" i="1"/>
  <c r="AX15" i="1"/>
  <c r="BD34" i="1"/>
  <c r="BG13" i="1"/>
  <c r="BG34" i="1" s="1"/>
  <c r="K44" i="1"/>
  <c r="L41" i="1"/>
  <c r="AU5" i="1"/>
  <c r="AR26" i="1"/>
  <c r="AR7" i="1"/>
  <c r="AO19" i="1"/>
  <c r="BA35" i="1"/>
  <c r="BD14" i="1"/>
  <c r="O20" i="1"/>
  <c r="N21" i="1"/>
  <c r="Q8" i="1"/>
  <c r="N29" i="1"/>
  <c r="B667" i="4" l="1"/>
  <c r="B671" i="4" s="1"/>
  <c r="B675" i="4" s="1"/>
  <c r="BD27" i="1"/>
  <c r="BG6" i="1"/>
  <c r="BA15" i="1"/>
  <c r="AX36" i="1"/>
  <c r="AU7" i="1"/>
  <c r="AR19" i="1"/>
  <c r="N30" i="1"/>
  <c r="N25" i="1" s="1"/>
  <c r="O29" i="1"/>
  <c r="BG14" i="1"/>
  <c r="BG35" i="1" s="1"/>
  <c r="BD35" i="1"/>
  <c r="Q9" i="1"/>
  <c r="Q10" i="1" s="1"/>
  <c r="R8" i="1" s="1"/>
  <c r="AU26" i="1"/>
  <c r="AX5" i="1"/>
  <c r="C671" i="4" l="1"/>
  <c r="B679" i="4"/>
  <c r="B672" i="4"/>
  <c r="B677" i="4" s="1"/>
  <c r="B18" i="3"/>
  <c r="B20" i="3" s="1"/>
  <c r="B17" i="3"/>
  <c r="BO6" i="1"/>
  <c r="BO14" i="1" s="1"/>
  <c r="BG27" i="1"/>
  <c r="BP6" i="1" s="1"/>
  <c r="BP14" i="1" s="1"/>
  <c r="Q18" i="1"/>
  <c r="Q20" i="1" s="1"/>
  <c r="Q11" i="1"/>
  <c r="Q31" i="1"/>
  <c r="Q39" i="1" s="1"/>
  <c r="N43" i="1"/>
  <c r="N28" i="1"/>
  <c r="N40" i="1" s="1"/>
  <c r="N41" i="1" s="1"/>
  <c r="BD15" i="1"/>
  <c r="BA36" i="1"/>
  <c r="AX26" i="1"/>
  <c r="BA5" i="1"/>
  <c r="AU19" i="1"/>
  <c r="AX7" i="1"/>
  <c r="B680" i="4" l="1"/>
  <c r="B676" i="4"/>
  <c r="B673" i="4"/>
  <c r="B681" i="4" s="1"/>
  <c r="B21" i="3"/>
  <c r="B29" i="3" s="1"/>
  <c r="BG15" i="1"/>
  <c r="BG36" i="1" s="1"/>
  <c r="BD36" i="1"/>
  <c r="BD5" i="1"/>
  <c r="BA26" i="1"/>
  <c r="N44" i="1"/>
  <c r="O41" i="1"/>
  <c r="T8" i="1"/>
  <c r="T9" i="1" s="1"/>
  <c r="T10" i="1" s="1"/>
  <c r="Q29" i="1"/>
  <c r="R20" i="1"/>
  <c r="Q21" i="1"/>
  <c r="BA7" i="1"/>
  <c r="AX19" i="1"/>
  <c r="B22" i="3" l="1"/>
  <c r="B13" i="3" s="1"/>
  <c r="C21" i="3"/>
  <c r="Q30" i="1"/>
  <c r="Q25" i="1" s="1"/>
  <c r="R29" i="1"/>
  <c r="BD7" i="1"/>
  <c r="BA19" i="1"/>
  <c r="U8" i="1"/>
  <c r="T31" i="1"/>
  <c r="T39" i="1" s="1"/>
  <c r="T18" i="1"/>
  <c r="T20" i="1" s="1"/>
  <c r="T11" i="1"/>
  <c r="BG5" i="1"/>
  <c r="BD26" i="1"/>
  <c r="B27" i="3" l="1"/>
  <c r="B9" i="3"/>
  <c r="BG26" i="1"/>
  <c r="BP5" i="1" s="1"/>
  <c r="BO5" i="1"/>
  <c r="BO13" i="1" s="1"/>
  <c r="Q43" i="1"/>
  <c r="Q28" i="1"/>
  <c r="Q40" i="1" s="1"/>
  <c r="Q41" i="1" s="1"/>
  <c r="T29" i="1"/>
  <c r="W8" i="1"/>
  <c r="W9" i="1" s="1"/>
  <c r="W10" i="1" s="1"/>
  <c r="W11" i="1" s="1"/>
  <c r="U20" i="1"/>
  <c r="T21" i="1"/>
  <c r="BG7" i="1"/>
  <c r="BD19" i="1"/>
  <c r="B31" i="3" l="1"/>
  <c r="B12" i="3"/>
  <c r="B30" i="3" s="1"/>
  <c r="B26" i="3"/>
  <c r="BP13" i="1"/>
  <c r="BG19" i="1"/>
  <c r="BO7" i="1"/>
  <c r="BO15" i="1" s="1"/>
  <c r="X8" i="1"/>
  <c r="W18" i="1"/>
  <c r="W20" i="1" s="1"/>
  <c r="Z8" i="1" s="1"/>
  <c r="W31" i="1"/>
  <c r="Q44" i="1"/>
  <c r="R41" i="1"/>
  <c r="T30" i="1"/>
  <c r="T25" i="1" s="1"/>
  <c r="U29" i="1"/>
  <c r="W39" i="1"/>
  <c r="W21" i="1" l="1"/>
  <c r="X20" i="1"/>
  <c r="W29" i="1"/>
  <c r="X29" i="1" s="1"/>
  <c r="T43" i="1"/>
  <c r="T28" i="1"/>
  <c r="T40" i="1" s="1"/>
  <c r="T41" i="1" s="1"/>
  <c r="Z9" i="1"/>
  <c r="Z10" i="1" s="1"/>
  <c r="AA8" i="1" s="1"/>
  <c r="W30" i="1" l="1"/>
  <c r="W25" i="1" s="1"/>
  <c r="T44" i="1"/>
  <c r="U41" i="1"/>
  <c r="W43" i="1"/>
  <c r="W28" i="1"/>
  <c r="W40" i="1" s="1"/>
  <c r="W41" i="1" s="1"/>
  <c r="Z31" i="1"/>
  <c r="Z18" i="1"/>
  <c r="Z20" i="1" s="1"/>
  <c r="Z11" i="1"/>
  <c r="Z39" i="1" l="1"/>
  <c r="W44" i="1"/>
  <c r="X41" i="1"/>
  <c r="Z29" i="1"/>
  <c r="AC8" i="1"/>
  <c r="AA20" i="1"/>
  <c r="Z21" i="1"/>
  <c r="AC9" i="1" l="1"/>
  <c r="AC10" i="1" s="1"/>
  <c r="AD8" i="1" s="1"/>
  <c r="AA29" i="1"/>
  <c r="Z30" i="1"/>
  <c r="Z25" i="1" s="1"/>
  <c r="Z43" i="1" l="1"/>
  <c r="Z28" i="1"/>
  <c r="Z40" i="1" s="1"/>
  <c r="Z41" i="1" s="1"/>
  <c r="AC31" i="1"/>
  <c r="AC39" i="1" s="1"/>
  <c r="AC18" i="1"/>
  <c r="AC20" i="1" s="1"/>
  <c r="AC11" i="1"/>
  <c r="AC29" i="1" l="1"/>
  <c r="AF8" i="1"/>
  <c r="AD20" i="1"/>
  <c r="AC21" i="1"/>
  <c r="Z44" i="1"/>
  <c r="AA41" i="1"/>
  <c r="AF9" i="1" l="1"/>
  <c r="AF10" i="1" s="1"/>
  <c r="AG8" i="1" s="1"/>
  <c r="AC30" i="1"/>
  <c r="AC25" i="1" s="1"/>
  <c r="AD29" i="1"/>
  <c r="AC43" i="1" l="1"/>
  <c r="AC28" i="1"/>
  <c r="AC40" i="1" s="1"/>
  <c r="AC41" i="1" s="1"/>
  <c r="AF31" i="1"/>
  <c r="AF18" i="1"/>
  <c r="AF20" i="1" s="1"/>
  <c r="AF11" i="1"/>
  <c r="AC44" i="1" l="1"/>
  <c r="AD41" i="1"/>
  <c r="AF29" i="1"/>
  <c r="AI8" i="1"/>
  <c r="AG20" i="1"/>
  <c r="AF21" i="1"/>
  <c r="AF39" i="1"/>
  <c r="AI9" i="1" l="1"/>
  <c r="AI10" i="1" s="1"/>
  <c r="AJ8" i="1" s="1"/>
  <c r="AF30" i="1"/>
  <c r="AF25" i="1" s="1"/>
  <c r="AG29" i="1"/>
  <c r="AF43" i="1" l="1"/>
  <c r="AF28" i="1"/>
  <c r="AF40" i="1" s="1"/>
  <c r="AF41" i="1" s="1"/>
  <c r="AI31" i="1"/>
  <c r="AI18" i="1"/>
  <c r="AI20" i="1" s="1"/>
  <c r="AI11" i="1"/>
  <c r="AF44" i="1" l="1"/>
  <c r="AG41" i="1"/>
  <c r="AI29" i="1"/>
  <c r="AL8" i="1"/>
  <c r="AJ20" i="1"/>
  <c r="AI21" i="1"/>
  <c r="AI39" i="1"/>
  <c r="AL9" i="1" l="1"/>
  <c r="AL10" i="1" s="1"/>
  <c r="AM8" i="1" s="1"/>
  <c r="AI30" i="1"/>
  <c r="AI25" i="1" s="1"/>
  <c r="AJ29" i="1"/>
  <c r="AI43" i="1" l="1"/>
  <c r="AI28" i="1"/>
  <c r="AI40" i="1" s="1"/>
  <c r="AI41" i="1" s="1"/>
  <c r="AL31" i="1"/>
  <c r="AL18" i="1"/>
  <c r="AL20" i="1" s="1"/>
  <c r="AL11" i="1"/>
  <c r="AL29" i="1" l="1"/>
  <c r="AO8" i="1"/>
  <c r="AM20" i="1"/>
  <c r="AL21" i="1"/>
  <c r="AL39" i="1"/>
  <c r="AI44" i="1"/>
  <c r="AJ41" i="1"/>
  <c r="AO9" i="1" l="1"/>
  <c r="AO10" i="1" s="1"/>
  <c r="AP8" i="1" s="1"/>
  <c r="AL30" i="1"/>
  <c r="AL25" i="1" s="1"/>
  <c r="AM29" i="1"/>
  <c r="AO31" i="1" l="1"/>
  <c r="AO39" i="1" s="1"/>
  <c r="AO18" i="1"/>
  <c r="AO20" i="1" s="1"/>
  <c r="AO11" i="1"/>
  <c r="AL43" i="1"/>
  <c r="AL28" i="1"/>
  <c r="AL40" i="1" s="1"/>
  <c r="AL41" i="1" s="1"/>
  <c r="AL44" i="1" l="1"/>
  <c r="AM41" i="1"/>
  <c r="AR8" i="1"/>
  <c r="AO29" i="1"/>
  <c r="AP20" i="1"/>
  <c r="AO21" i="1"/>
  <c r="AR9" i="1" l="1"/>
  <c r="AR10" i="1" s="1"/>
  <c r="AS8" i="1" s="1"/>
  <c r="AO30" i="1"/>
  <c r="AO25" i="1" s="1"/>
  <c r="AP29" i="1"/>
  <c r="AO43" i="1" l="1"/>
  <c r="AO28" i="1"/>
  <c r="AO40" i="1" s="1"/>
  <c r="AO41" i="1" s="1"/>
  <c r="AR31" i="1"/>
  <c r="AR18" i="1"/>
  <c r="AR20" i="1" s="1"/>
  <c r="AR11" i="1"/>
  <c r="AO44" i="1" l="1"/>
  <c r="AP41" i="1"/>
  <c r="AR29" i="1"/>
  <c r="AU8" i="1"/>
  <c r="AS20" i="1"/>
  <c r="AR21" i="1"/>
  <c r="AR39" i="1"/>
  <c r="AU9" i="1" l="1"/>
  <c r="AU10" i="1" s="1"/>
  <c r="AR30" i="1"/>
  <c r="AR25" i="1" s="1"/>
  <c r="AS29" i="1"/>
  <c r="AU31" i="1" l="1"/>
  <c r="AU18" i="1"/>
  <c r="AU20" i="1" s="1"/>
  <c r="AU11" i="1"/>
  <c r="AR43" i="1"/>
  <c r="AR28" i="1"/>
  <c r="AR40" i="1" s="1"/>
  <c r="AR41" i="1" s="1"/>
  <c r="AV8" i="1"/>
  <c r="AR44" i="1" l="1"/>
  <c r="AS41" i="1"/>
  <c r="AX8" i="1"/>
  <c r="AU29" i="1"/>
  <c r="AV20" i="1"/>
  <c r="AU21" i="1"/>
  <c r="AU39" i="1"/>
  <c r="AU30" i="1" l="1"/>
  <c r="AU25" i="1" s="1"/>
  <c r="AV29" i="1"/>
  <c r="AX9" i="1"/>
  <c r="AX10" i="1" s="1"/>
  <c r="AY8" i="1" s="1"/>
  <c r="AX31" i="1" l="1"/>
  <c r="AX18" i="1"/>
  <c r="AX20" i="1" s="1"/>
  <c r="AX11" i="1"/>
  <c r="AU43" i="1"/>
  <c r="AU28" i="1"/>
  <c r="AU40" i="1" s="1"/>
  <c r="AU41" i="1" s="1"/>
  <c r="AU44" i="1" l="1"/>
  <c r="AV41" i="1"/>
  <c r="AX29" i="1"/>
  <c r="BA8" i="1"/>
  <c r="AY20" i="1"/>
  <c r="AX21" i="1"/>
  <c r="AX39" i="1"/>
  <c r="BA9" i="1" l="1"/>
  <c r="BA10" i="1" s="1"/>
  <c r="BB8" i="1" s="1"/>
  <c r="AX30" i="1"/>
  <c r="AX25" i="1" s="1"/>
  <c r="AY29" i="1"/>
  <c r="AX43" i="1" l="1"/>
  <c r="AX28" i="1"/>
  <c r="AX40" i="1" s="1"/>
  <c r="AX41" i="1" s="1"/>
  <c r="BA31" i="1"/>
  <c r="BA18" i="1"/>
  <c r="BA20" i="1" s="1"/>
  <c r="BA11" i="1"/>
  <c r="BD8" i="1" l="1"/>
  <c r="BA29" i="1"/>
  <c r="BB20" i="1"/>
  <c r="BA21" i="1"/>
  <c r="BA39" i="1"/>
  <c r="AX44" i="1"/>
  <c r="AY41" i="1"/>
  <c r="BB29" i="1" l="1"/>
  <c r="BA30" i="1"/>
  <c r="BA25" i="1" s="1"/>
  <c r="BD9" i="1"/>
  <c r="BD10" i="1" s="1"/>
  <c r="BD31" i="1" l="1"/>
  <c r="BD39" i="1" s="1"/>
  <c r="BD18" i="1"/>
  <c r="BD20" i="1" s="1"/>
  <c r="BD11" i="1"/>
  <c r="BA43" i="1"/>
  <c r="BA28" i="1"/>
  <c r="BA40" i="1" s="1"/>
  <c r="BA41" i="1" s="1"/>
  <c r="BE8" i="1"/>
  <c r="BD29" i="1" l="1"/>
  <c r="BG8" i="1"/>
  <c r="BE20" i="1"/>
  <c r="BD21" i="1"/>
  <c r="BA44" i="1"/>
  <c r="BB41" i="1"/>
  <c r="BO8" i="1" l="1"/>
  <c r="BO16" i="1" s="1"/>
  <c r="BJ11" i="1"/>
  <c r="BG9" i="1"/>
  <c r="BD30" i="1"/>
  <c r="BD25" i="1" s="1"/>
  <c r="BE29" i="1"/>
  <c r="BG10" i="1" l="1"/>
  <c r="BG11" i="1" s="1"/>
  <c r="BJ10" i="1"/>
  <c r="BO9" i="1"/>
  <c r="BO17" i="1" s="1"/>
  <c r="BD43" i="1"/>
  <c r="BD28" i="1"/>
  <c r="BD40" i="1" s="1"/>
  <c r="BD41" i="1" s="1"/>
  <c r="BG18" i="1" l="1"/>
  <c r="BG20" i="1" s="1"/>
  <c r="BH20" i="1" s="1"/>
  <c r="BG31" i="1"/>
  <c r="BP10" i="1" s="1"/>
  <c r="BO10" i="1"/>
  <c r="BO18" i="1" s="1"/>
  <c r="BH8" i="1"/>
  <c r="BG29" i="1"/>
  <c r="BG39" i="1"/>
  <c r="BD44" i="1"/>
  <c r="BE41" i="1"/>
  <c r="BG21" i="1" l="1"/>
  <c r="BP8" i="1"/>
  <c r="BP16" i="1" s="1"/>
  <c r="BP18" i="1"/>
  <c r="BG30" i="1"/>
  <c r="BH29" i="1"/>
  <c r="BG25" i="1" l="1"/>
  <c r="BG43" i="1" s="1"/>
  <c r="BP9" i="1"/>
  <c r="BP17" i="1" s="1"/>
  <c r="BG28" i="1" l="1"/>
  <c r="BJ30" i="1" s="1"/>
  <c r="BG40" i="1"/>
  <c r="BG41" i="1" s="1"/>
  <c r="BG44" i="1" s="1"/>
  <c r="BP7" i="1"/>
  <c r="BP15" i="1" s="1"/>
  <c r="BP4" i="1"/>
  <c r="BP12" i="1" s="1"/>
  <c r="BJ31" i="1"/>
  <c r="BH41" i="1" l="1"/>
</calcChain>
</file>

<file path=xl/sharedStrings.xml><?xml version="1.0" encoding="utf-8"?>
<sst xmlns="http://schemas.openxmlformats.org/spreadsheetml/2006/main" count="1257" uniqueCount="127">
  <si>
    <t>Total DC</t>
  </si>
  <si>
    <t>Calculated TFFA</t>
  </si>
  <si>
    <t>Total Budget</t>
  </si>
  <si>
    <t>TFFA Rate</t>
  </si>
  <si>
    <t>Sub DC</t>
  </si>
  <si>
    <t>Sub F&amp;A</t>
  </si>
  <si>
    <t>MTDC / TFFA Comparisson</t>
  </si>
  <si>
    <t>TFFA Amount</t>
  </si>
  <si>
    <t>MTDC Amount + Sub F&amp;A</t>
  </si>
  <si>
    <t>MTDC Rate</t>
  </si>
  <si>
    <t>Total Sub Amount</t>
  </si>
  <si>
    <t>Exclusion (other than subs)</t>
  </si>
  <si>
    <t>Exclusion (subs)</t>
  </si>
  <si>
    <t>MTDC Base</t>
  </si>
  <si>
    <t>Total F&amp;A Allowed</t>
  </si>
  <si>
    <t>Budget Development</t>
  </si>
  <si>
    <t>#1</t>
  </si>
  <si>
    <t>#2</t>
  </si>
  <si>
    <t>Total Allowed F&amp;A</t>
  </si>
  <si>
    <t>Total UVM Allowed F&amp;A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</si>
  <si>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</si>
  <si>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</si>
  <si>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</si>
  <si>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</si>
  <si>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</si>
  <si>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</si>
  <si>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</si>
  <si>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</si>
  <si>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</si>
  <si>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</si>
  <si>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</si>
  <si>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</si>
  <si>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</si>
  <si>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</si>
  <si>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</si>
  <si>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</si>
  <si>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</si>
  <si>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</si>
  <si>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Rebudget DC</t>
  </si>
  <si>
    <t>Rebudget FA</t>
  </si>
  <si>
    <t>Compare</t>
  </si>
  <si>
    <t>P1</t>
  </si>
  <si>
    <t>A</t>
  </si>
  <si>
    <t>PF</t>
  </si>
  <si>
    <t>Final</t>
  </si>
  <si>
    <t>Award</t>
  </si>
  <si>
    <t>MTDC</t>
  </si>
  <si>
    <t>TDC</t>
  </si>
  <si>
    <t>UVM F&amp;A</t>
  </si>
  <si>
    <t>Subaward Institution</t>
  </si>
  <si>
    <t>Total Subaward Amount</t>
  </si>
  <si>
    <t>Sub Maximum F&amp;A</t>
  </si>
  <si>
    <t>Sub Actual F&amp;A</t>
  </si>
  <si>
    <t>MTDC rate</t>
  </si>
  <si>
    <t>TFFA rate</t>
  </si>
  <si>
    <t>Total direct costs</t>
  </si>
  <si>
    <t>Excluded from MTDC (other than subs)</t>
  </si>
  <si>
    <t>Subs excluded from MTDC</t>
  </si>
  <si>
    <t>MTDC base</t>
  </si>
  <si>
    <t>Total proposed budget</t>
  </si>
  <si>
    <t>Excluded From MTDC</t>
  </si>
  <si>
    <t>USDA NIFA Calculator - Subaward Worksheet</t>
  </si>
  <si>
    <t>MTDC / TFFA Comparison</t>
  </si>
  <si>
    <t xml:space="preserve">Total F&amp;A amount - TFFA </t>
  </si>
  <si>
    <t>F&amp;A amount - Subs</t>
  </si>
  <si>
    <t>Maximum total F&amp;A allowed</t>
  </si>
  <si>
    <t>Maximum UVM F&amp;A allowed</t>
  </si>
  <si>
    <t>Total F&amp;A amount - MTDC (UVM)</t>
  </si>
  <si>
    <t>Total F&amp;A amount - MTDC (UVM+Subs)</t>
  </si>
  <si>
    <t>Final Proposal Budget</t>
  </si>
  <si>
    <t>Effective MTDC F&amp;A rate</t>
  </si>
  <si>
    <t>Effective TDC F&amp;A rate</t>
  </si>
  <si>
    <t>Maximum Allowed F&amp;A (TFFA)</t>
  </si>
  <si>
    <t>Total F&amp;A amount difference</t>
  </si>
  <si>
    <t>UVM F&amp;A amount difference</t>
  </si>
  <si>
    <t>Total proposed budget difference</t>
  </si>
  <si>
    <t>New total proposed budget</t>
  </si>
  <si>
    <t>Total awarded budget</t>
  </si>
  <si>
    <t>Total UVM F&amp;A</t>
  </si>
  <si>
    <t>Rebudget Needed</t>
  </si>
  <si>
    <t>Direct costs</t>
  </si>
  <si>
    <t>F&amp;A</t>
  </si>
  <si>
    <t>Awarded Budget</t>
  </si>
  <si>
    <t>USDA NIFA F&amp;A Calculator for Proposal Development</t>
  </si>
  <si>
    <t>USDA NIFA F&amp;A Calculator for Award Processing</t>
  </si>
  <si>
    <t>UVM Negotiated F&amp;A Rate (MTDC Base)</t>
  </si>
  <si>
    <t>USDA/NIFA TFFA rate</t>
  </si>
  <si>
    <t>Sub #1</t>
  </si>
  <si>
    <t>Sub #2</t>
  </si>
  <si>
    <t>Sub #3</t>
  </si>
  <si>
    <t>Sub #4</t>
  </si>
  <si>
    <t>Sub #5</t>
  </si>
  <si>
    <t>Sub #6</t>
  </si>
  <si>
    <t xml:space="preserve">Exclusions from MTDC Calculator </t>
  </si>
  <si>
    <t>Equipment</t>
  </si>
  <si>
    <t>Period 1</t>
  </si>
  <si>
    <t>Period 2</t>
  </si>
  <si>
    <t>Period 3</t>
  </si>
  <si>
    <t>Period 4</t>
  </si>
  <si>
    <t>Period 5</t>
  </si>
  <si>
    <t>Total</t>
  </si>
  <si>
    <t xml:space="preserve">Equipment/Facility Rental </t>
  </si>
  <si>
    <t>Patient Care</t>
  </si>
  <si>
    <t>Trainee/Participant Other</t>
  </si>
  <si>
    <t>Trainee/Participant Stipend</t>
  </si>
  <si>
    <t xml:space="preserve">Trainee/Participant Subsistence </t>
  </si>
  <si>
    <t>Trainee/Participant Travel</t>
  </si>
  <si>
    <t>Trainee/Participant Tuition</t>
  </si>
  <si>
    <t>Other Excluded From Base</t>
  </si>
  <si>
    <t>Tuition &amp; Fees</t>
  </si>
  <si>
    <t>All Excluded</t>
  </si>
  <si>
    <t>Total indirect as percent of TFFA</t>
  </si>
  <si>
    <t>Instructions:</t>
  </si>
  <si>
    <t>1. Enter values in blue boxes on this tab</t>
  </si>
  <si>
    <t>2. Enter values in blue boxes in subaward&amp;exclusions worksheet tab</t>
  </si>
  <si>
    <t>3. Select the appropriate F&amp;A rate based on the displayed value in the "Rate Limitation to use" cell</t>
  </si>
  <si>
    <t>4. Use the indicated rate, MTDC or TDC</t>
  </si>
  <si>
    <t>Rate Limitation to Use</t>
  </si>
  <si>
    <t>Sub #7</t>
  </si>
  <si>
    <t>Sub #8</t>
  </si>
  <si>
    <t>Sub #9</t>
  </si>
  <si>
    <t>Sub #10</t>
  </si>
  <si>
    <t>Sub #11</t>
  </si>
  <si>
    <t>Sub #12</t>
  </si>
  <si>
    <t>Sub #13</t>
  </si>
  <si>
    <t>Sub #14</t>
  </si>
  <si>
    <t>Sub #15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</si>
</sst>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10" fontId="0" fillId="0" borderId="0" xfId="2" applyNumberFormat="1" applyFont="1"/>
    <xf numFmtId="43" fontId="0" fillId="0" borderId="0" xfId="1" applyNumberFormat="1" applyFont="1"/>
    <xf numFmtId="0" fontId="0" fillId="0" borderId="1" xfId="0" applyBorder="1"/>
    <xf numFmtId="0" fontId="3" fillId="0" borderId="0" xfId="0" applyFont="1"/>
    <xf numFmtId="166" fontId="3" fillId="0" borderId="0" xfId="2" applyNumberFormat="1" applyFont="1"/>
    <xf numFmtId="0" fontId="0" fillId="0" borderId="0" xfId="0" applyFill="1"/>
    <xf numFmtId="166" fontId="0" fillId="2" borderId="0" xfId="2" applyNumberFormat="1" applyFont="1" applyFill="1"/>
    <xf numFmtId="43" fontId="0" fillId="3" borderId="0" xfId="1" applyFont="1" applyFill="1"/>
    <xf numFmtId="10" fontId="3" fillId="3" borderId="0" xfId="2" applyNumberFormat="1" applyFont="1" applyFill="1"/>
    <xf numFmtId="10" fontId="3" fillId="0" borderId="0" xfId="2" applyNumberFormat="1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3" borderId="5" xfId="1" applyFont="1" applyFill="1" applyBorder="1"/>
    <xf numFmtId="43" fontId="0" fillId="0" borderId="5" xfId="1" applyFont="1" applyBorder="1"/>
    <xf numFmtId="0" fontId="0" fillId="0" borderId="6" xfId="0" applyBorder="1"/>
    <xf numFmtId="43" fontId="0" fillId="0" borderId="7" xfId="1" applyFont="1" applyBorder="1"/>
    <xf numFmtId="0" fontId="4" fillId="0" borderId="0" xfId="0" applyFont="1"/>
    <xf numFmtId="0" fontId="0" fillId="0" borderId="8" xfId="0" applyBorder="1"/>
    <xf numFmtId="0" fontId="0" fillId="0" borderId="9" xfId="0" applyBorder="1"/>
    <xf numFmtId="166" fontId="0" fillId="0" borderId="0" xfId="2" applyNumberFormat="1" applyFont="1"/>
    <xf numFmtId="0" fontId="5" fillId="0" borderId="10" xfId="0" applyFont="1" applyBorder="1"/>
    <xf numFmtId="166" fontId="5" fillId="0" borderId="11" xfId="2" applyNumberFormat="1" applyFont="1" applyBorder="1"/>
    <xf numFmtId="0" fontId="5" fillId="0" borderId="12" xfId="0" applyFont="1" applyBorder="1"/>
    <xf numFmtId="166" fontId="5" fillId="0" borderId="13" xfId="2" applyNumberFormat="1" applyFont="1" applyBorder="1"/>
    <xf numFmtId="43" fontId="0" fillId="0" borderId="5" xfId="1" applyFont="1" applyFill="1" applyBorder="1"/>
    <xf numFmtId="0" fontId="0" fillId="0" borderId="0" xfId="0" applyBorder="1"/>
    <xf numFmtId="0" fontId="0" fillId="0" borderId="3" xfId="0" applyBorder="1" applyAlignment="1">
      <alignment horizontal="right"/>
    </xf>
    <xf numFmtId="0" fontId="0" fillId="0" borderId="12" xfId="0" applyFill="1" applyBorder="1"/>
    <xf numFmtId="43" fontId="0" fillId="0" borderId="13" xfId="1" applyFont="1" applyBorder="1"/>
    <xf numFmtId="43" fontId="0" fillId="0" borderId="0" xfId="0" applyNumberFormat="1"/>
    <xf numFmtId="0" fontId="0" fillId="0" borderId="6" xfId="0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8" fillId="0" borderId="4" xfId="0" applyFont="1" applyBorder="1"/>
    <xf numFmtId="43" fontId="8" fillId="0" borderId="5" xfId="1" applyFont="1" applyBorder="1"/>
    <xf numFmtId="0" fontId="8" fillId="0" borderId="6" xfId="0" applyFont="1" applyBorder="1"/>
    <xf numFmtId="43" fontId="8" fillId="0" borderId="7" xfId="1" applyFont="1" applyBorder="1"/>
    <xf numFmtId="0" fontId="8" fillId="0" borderId="0" xfId="0" applyFont="1" applyBorder="1"/>
    <xf numFmtId="43" fontId="8" fillId="0" borderId="0" xfId="1" applyFont="1" applyBorder="1"/>
    <xf numFmtId="0" fontId="7" fillId="0" borderId="2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Fill="1" applyBorder="1"/>
    <xf numFmtId="43" fontId="8" fillId="0" borderId="13" xfId="1" applyFont="1" applyBorder="1"/>
    <xf numFmtId="0" fontId="7" fillId="0" borderId="10" xfId="0" applyFont="1" applyBorder="1"/>
    <xf numFmtId="166" fontId="7" fillId="0" borderId="11" xfId="2" applyNumberFormat="1" applyFont="1" applyBorder="1"/>
    <xf numFmtId="0" fontId="7" fillId="0" borderId="12" xfId="0" applyFont="1" applyBorder="1"/>
    <xf numFmtId="166" fontId="7" fillId="0" borderId="13" xfId="2" applyNumberFormat="1" applyFont="1" applyBorder="1"/>
    <xf numFmtId="0" fontId="8" fillId="0" borderId="0" xfId="0" applyFont="1"/>
    <xf numFmtId="166" fontId="8" fillId="0" borderId="0" xfId="2" applyNumberFormat="1" applyFont="1" applyBorder="1"/>
    <xf numFmtId="0" fontId="8" fillId="0" borderId="1" xfId="0" applyFont="1" applyBorder="1"/>
    <xf numFmtId="10" fontId="3" fillId="0" borderId="0" xfId="2" applyNumberFormat="1" applyFont="1" applyFill="1"/>
    <xf numFmtId="43" fontId="0" fillId="3" borderId="9" xfId="1" applyFont="1" applyFill="1" applyBorder="1"/>
    <xf numFmtId="10" fontId="3" fillId="3" borderId="9" xfId="2" applyNumberFormat="1" applyFont="1" applyFill="1" applyBorder="1"/>
    <xf numFmtId="10" fontId="3" fillId="0" borderId="7" xfId="2" applyNumberFormat="1" applyFont="1" applyBorder="1"/>
    <xf numFmtId="43" fontId="0" fillId="0" borderId="3" xfId="1" applyFont="1" applyBorder="1"/>
    <xf numFmtId="43" fontId="0" fillId="0" borderId="9" xfId="1" applyFont="1" applyBorder="1"/>
    <xf numFmtId="0" fontId="3" fillId="0" borderId="14" xfId="0" applyFont="1" applyBorder="1"/>
    <xf numFmtId="0" fontId="0" fillId="0" borderId="14" xfId="0" applyBorder="1"/>
    <xf numFmtId="0" fontId="3" fillId="0" borderId="8" xfId="0" applyFont="1" applyFill="1" applyBorder="1"/>
    <xf numFmtId="0" fontId="3" fillId="0" borderId="6" xfId="0" applyFont="1" applyFill="1" applyBorder="1"/>
    <xf numFmtId="0" fontId="0" fillId="0" borderId="4" xfId="0" applyFill="1" applyBorder="1"/>
    <xf numFmtId="0" fontId="0" fillId="0" borderId="0" xfId="0" applyFill="1" applyBorder="1"/>
    <xf numFmtId="43" fontId="0" fillId="0" borderId="0" xfId="1" applyFont="1" applyBorder="1"/>
    <xf numFmtId="43" fontId="3" fillId="0" borderId="13" xfId="1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4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P44"/>
  <sheetViews>
    <sheetView topLeftCell="A21" workbookViewId="0">
      <selection activeCell="B8" sqref="B8"/>
    </sheetView>
  </sheetViews>
  <sheetFormatPr defaultRowHeight="15" x14ac:dyDescent="0.25"/>
  <cols>
    <col min="1" max="1" width="24.42578125" bestFit="1" customWidth="1"/>
    <col min="2" max="2" width="12" bestFit="1" customWidth="1"/>
    <col min="4" max="4" width="25.28515625" customWidth="1"/>
    <col min="5" max="5" width="12" customWidth="1"/>
    <col min="6" max="6" width="9.140625" customWidth="1"/>
    <col min="7" max="7" width="25.28515625" customWidth="1"/>
    <col min="8" max="8" width="12" customWidth="1"/>
    <col min="9" max="9" width="9.140625" customWidth="1"/>
    <col min="10" max="10" width="25.28515625" customWidth="1"/>
    <col min="11" max="12" width="9.140625" customWidth="1"/>
    <col min="13" max="13" width="25.28515625" customWidth="1"/>
    <col min="14" max="15" width="9.140625" customWidth="1"/>
    <col min="16" max="16" width="25.28515625" customWidth="1"/>
    <col min="17" max="18" width="9.140625" customWidth="1"/>
    <col min="19" max="19" width="25.28515625" customWidth="1"/>
    <col min="20" max="21" width="9.140625" customWidth="1"/>
    <col min="22" max="22" width="25.28515625" customWidth="1"/>
    <col min="23" max="24" width="9.140625" customWidth="1"/>
    <col min="25" max="25" width="25.28515625" customWidth="1"/>
    <col min="26" max="27" width="9.140625" customWidth="1"/>
    <col min="28" max="28" width="25.28515625" customWidth="1"/>
    <col min="29" max="30" width="9.140625" customWidth="1"/>
    <col min="31" max="31" width="25.28515625" customWidth="1"/>
    <col min="32" max="33" width="9.140625" customWidth="1"/>
    <col min="34" max="34" width="25.28515625" customWidth="1"/>
    <col min="35" max="36" width="9.140625" customWidth="1"/>
    <col min="37" max="37" width="25.28515625" customWidth="1"/>
    <col min="38" max="39" width="9.140625" customWidth="1"/>
    <col min="40" max="40" width="25.28515625" customWidth="1"/>
    <col min="41" max="42" width="9.140625" customWidth="1"/>
    <col min="43" max="43" width="25.28515625" customWidth="1"/>
    <col min="44" max="45" width="9.140625" customWidth="1"/>
    <col min="46" max="46" width="25.28515625" customWidth="1"/>
    <col min="47" max="48" width="9.140625" customWidth="1"/>
    <col min="49" max="49" width="25.28515625" customWidth="1"/>
    <col min="50" max="50" width="9.5703125" customWidth="1"/>
    <col min="51" max="51" width="9.140625" customWidth="1"/>
    <col min="52" max="52" width="25.28515625" customWidth="1"/>
    <col min="53" max="54" width="9.140625" customWidth="1"/>
    <col min="55" max="55" width="25.28515625" customWidth="1"/>
    <col min="56" max="57" width="9.140625" customWidth="1"/>
    <col min="58" max="58" width="25.28515625" bestFit="1" customWidth="1"/>
    <col min="65" max="65" width="25.28515625" bestFit="1" customWidth="1"/>
    <col min="67" max="67" width="11.28515625" bestFit="1" customWidth="1"/>
    <col min="68" max="68" width="12.140625" bestFit="1" customWidth="1"/>
  </cols>
  <sheetData>
    <row r="2" spans="1:68" x14ac:dyDescent="0.25">
      <c r="BN2" t="s">
        <v>40</v>
      </c>
    </row>
    <row r="3" spans="1:68" x14ac:dyDescent="0.25">
      <c r="A3" t="s">
        <v>15</v>
      </c>
      <c r="B3" t="s">
        <v>16</v>
      </c>
      <c r="E3" t="s">
        <v>17</v>
      </c>
      <c r="H3" t="s">
        <v>20</v>
      </c>
      <c r="K3" t="s">
        <v>21</v>
      </c>
      <c r="N3" t="s">
        <v>22</v>
      </c>
      <c r="Q3" t="s">
        <v>23</v>
      </c>
      <c r="T3" t="s">
        <v>24</v>
      </c>
      <c r="W3" t="s">
        <v>25</v>
      </c>
      <c r="Z3" t="s">
        <v>26</v>
      </c>
      <c r="AC3" t="s">
        <v>27</v>
      </c>
      <c r="AF3" t="s">
        <v>28</v>
      </c>
      <c r="AI3" t="s">
        <v>29</v>
      </c>
      <c r="AL3" t="s">
        <v>30</v>
      </c>
      <c r="AO3" t="s">
        <v>31</v>
      </c>
      <c r="AR3" t="s">
        <v>32</v>
      </c>
      <c r="AU3" t="s">
        <v>33</v>
      </c>
      <c r="AX3" t="s">
        <v>34</v>
      </c>
      <c r="BA3" t="s">
        <v>35</v>
      </c>
      <c r="BD3" t="s">
        <v>36</v>
      </c>
      <c r="BG3" t="s">
        <v>44</v>
      </c>
      <c r="BN3" t="s">
        <v>41</v>
      </c>
      <c r="BO3" t="s">
        <v>43</v>
      </c>
      <c r="BP3" t="s">
        <v>42</v>
      </c>
    </row>
    <row r="4" spans="1:68" x14ac:dyDescent="0.25">
      <c r="A4" t="s">
        <v>0</v>
      </c>
      <c r="B4" s="2">
        <v>750000</v>
      </c>
      <c r="D4" t="s">
        <v>0</v>
      </c>
      <c r="E4">
        <f>B4</f>
        <v>750000</v>
      </c>
      <c r="G4" t="s">
        <v>0</v>
      </c>
      <c r="H4">
        <f>E4</f>
        <v>750000</v>
      </c>
      <c r="J4" t="s">
        <v>0</v>
      </c>
      <c r="K4">
        <f>H4</f>
        <v>750000</v>
      </c>
      <c r="M4" t="s">
        <v>0</v>
      </c>
      <c r="N4">
        <f>K4</f>
        <v>750000</v>
      </c>
      <c r="P4" t="s">
        <v>0</v>
      </c>
      <c r="Q4">
        <f>N4</f>
        <v>750000</v>
      </c>
      <c r="S4" t="s">
        <v>0</v>
      </c>
      <c r="T4">
        <f>Q4</f>
        <v>750000</v>
      </c>
      <c r="V4" t="s">
        <v>0</v>
      </c>
      <c r="W4">
        <f>T4</f>
        <v>750000</v>
      </c>
      <c r="Y4" t="s">
        <v>0</v>
      </c>
      <c r="Z4">
        <f>W4</f>
        <v>750000</v>
      </c>
      <c r="AB4" t="s">
        <v>0</v>
      </c>
      <c r="AC4">
        <f>Z4</f>
        <v>750000</v>
      </c>
      <c r="AE4" t="s">
        <v>0</v>
      </c>
      <c r="AF4">
        <f>AC4</f>
        <v>750000</v>
      </c>
      <c r="AH4" t="s">
        <v>0</v>
      </c>
      <c r="AI4">
        <f>AF4</f>
        <v>750000</v>
      </c>
      <c r="AK4" t="s">
        <v>0</v>
      </c>
      <c r="AL4">
        <f>AI4</f>
        <v>750000</v>
      </c>
      <c r="AN4" t="s">
        <v>0</v>
      </c>
      <c r="AO4">
        <f>AL4</f>
        <v>750000</v>
      </c>
      <c r="AQ4" t="s">
        <v>0</v>
      </c>
      <c r="AR4">
        <f>AO4</f>
        <v>750000</v>
      </c>
      <c r="AT4" t="s">
        <v>0</v>
      </c>
      <c r="AU4">
        <f>AR4</f>
        <v>750000</v>
      </c>
      <c r="AW4" t="s">
        <v>0</v>
      </c>
      <c r="AX4">
        <f>AU4</f>
        <v>750000</v>
      </c>
      <c r="AZ4" t="s">
        <v>0</v>
      </c>
      <c r="BA4">
        <f>AX4</f>
        <v>750000</v>
      </c>
      <c r="BC4" t="s">
        <v>0</v>
      </c>
      <c r="BD4">
        <f>BA4</f>
        <v>750000</v>
      </c>
      <c r="BF4" t="s">
        <v>0</v>
      </c>
      <c r="BG4">
        <f>BD4</f>
        <v>750000</v>
      </c>
      <c r="BM4" t="s">
        <v>0</v>
      </c>
      <c r="BN4">
        <f>B4</f>
        <v>750000</v>
      </c>
      <c r="BO4">
        <f t="shared" ref="BO4:BO10" si="0">BG4</f>
        <v>750000</v>
      </c>
      <c r="BP4">
        <f t="shared" ref="BP4:BP10" si="1">BG25</f>
        <v>750000.00000249059</v>
      </c>
    </row>
    <row r="5" spans="1:68" x14ac:dyDescent="0.25">
      <c r="A5" t="s">
        <v>12</v>
      </c>
      <c r="B5" s="12">
        <f>IF(B15&gt;=25000,25000,B15)</f>
        <v>25000</v>
      </c>
      <c r="D5" t="s">
        <v>12</v>
      </c>
      <c r="E5">
        <f>B5</f>
        <v>25000</v>
      </c>
      <c r="G5" t="s">
        <v>12</v>
      </c>
      <c r="H5">
        <f>E5</f>
        <v>25000</v>
      </c>
      <c r="J5" t="s">
        <v>12</v>
      </c>
      <c r="K5">
        <f>H5</f>
        <v>25000</v>
      </c>
      <c r="M5" t="s">
        <v>12</v>
      </c>
      <c r="N5">
        <f>K5</f>
        <v>25000</v>
      </c>
      <c r="P5" t="s">
        <v>12</v>
      </c>
      <c r="Q5">
        <f>N5</f>
        <v>25000</v>
      </c>
      <c r="S5" t="s">
        <v>12</v>
      </c>
      <c r="T5">
        <f>Q5</f>
        <v>25000</v>
      </c>
      <c r="V5" t="s">
        <v>12</v>
      </c>
      <c r="W5">
        <f>T5</f>
        <v>25000</v>
      </c>
      <c r="Y5" t="s">
        <v>12</v>
      </c>
      <c r="Z5">
        <f>W5</f>
        <v>25000</v>
      </c>
      <c r="AB5" t="s">
        <v>12</v>
      </c>
      <c r="AC5">
        <f>Z5</f>
        <v>25000</v>
      </c>
      <c r="AE5" t="s">
        <v>12</v>
      </c>
      <c r="AF5">
        <f>AC5</f>
        <v>25000</v>
      </c>
      <c r="AH5" t="s">
        <v>12</v>
      </c>
      <c r="AI5">
        <f>AF5</f>
        <v>25000</v>
      </c>
      <c r="AK5" t="s">
        <v>12</v>
      </c>
      <c r="AL5">
        <f>AI5</f>
        <v>25000</v>
      </c>
      <c r="AN5" t="s">
        <v>12</v>
      </c>
      <c r="AO5">
        <f>AL5</f>
        <v>25000</v>
      </c>
      <c r="AQ5" t="s">
        <v>12</v>
      </c>
      <c r="AR5">
        <f>AO5</f>
        <v>25000</v>
      </c>
      <c r="AT5" t="s">
        <v>12</v>
      </c>
      <c r="AU5">
        <f>AR5</f>
        <v>25000</v>
      </c>
      <c r="AW5" t="s">
        <v>12</v>
      </c>
      <c r="AX5">
        <f>AU5</f>
        <v>25000</v>
      </c>
      <c r="AZ5" t="s">
        <v>12</v>
      </c>
      <c r="BA5">
        <f>AX5</f>
        <v>25000</v>
      </c>
      <c r="BC5" t="s">
        <v>12</v>
      </c>
      <c r="BD5">
        <f>BA5</f>
        <v>25000</v>
      </c>
      <c r="BF5" t="s">
        <v>12</v>
      </c>
      <c r="BG5">
        <f>BD5</f>
        <v>25000</v>
      </c>
      <c r="BM5" t="s">
        <v>12</v>
      </c>
      <c r="BN5">
        <f>B5</f>
        <v>25000</v>
      </c>
      <c r="BO5">
        <f t="shared" si="0"/>
        <v>25000</v>
      </c>
      <c r="BP5">
        <f t="shared" si="1"/>
        <v>25000</v>
      </c>
    </row>
    <row r="6" spans="1:68" x14ac:dyDescent="0.25">
      <c r="A6" t="s">
        <v>11</v>
      </c>
      <c r="B6" s="2">
        <v>0</v>
      </c>
      <c r="D6" t="s">
        <v>11</v>
      </c>
      <c r="E6">
        <f>B6</f>
        <v>0</v>
      </c>
      <c r="G6" t="s">
        <v>11</v>
      </c>
      <c r="H6">
        <f>E6</f>
        <v>0</v>
      </c>
      <c r="J6" t="s">
        <v>11</v>
      </c>
      <c r="K6">
        <f>H6</f>
        <v>0</v>
      </c>
      <c r="M6" t="s">
        <v>11</v>
      </c>
      <c r="N6">
        <f>K6</f>
        <v>0</v>
      </c>
      <c r="P6" t="s">
        <v>11</v>
      </c>
      <c r="Q6">
        <f>N6</f>
        <v>0</v>
      </c>
      <c r="S6" t="s">
        <v>11</v>
      </c>
      <c r="T6">
        <f>Q6</f>
        <v>0</v>
      </c>
      <c r="V6" t="s">
        <v>11</v>
      </c>
      <c r="W6">
        <f>T6</f>
        <v>0</v>
      </c>
      <c r="Y6" t="s">
        <v>11</v>
      </c>
      <c r="Z6">
        <f>W6</f>
        <v>0</v>
      </c>
      <c r="AB6" t="s">
        <v>11</v>
      </c>
      <c r="AC6">
        <f>Z6</f>
        <v>0</v>
      </c>
      <c r="AE6" t="s">
        <v>11</v>
      </c>
      <c r="AF6">
        <f>AC6</f>
        <v>0</v>
      </c>
      <c r="AH6" t="s">
        <v>11</v>
      </c>
      <c r="AI6">
        <f>AF6</f>
        <v>0</v>
      </c>
      <c r="AK6" t="s">
        <v>11</v>
      </c>
      <c r="AL6">
        <f>AI6</f>
        <v>0</v>
      </c>
      <c r="AN6" t="s">
        <v>11</v>
      </c>
      <c r="AO6">
        <f>AL6</f>
        <v>0</v>
      </c>
      <c r="AQ6" t="s">
        <v>11</v>
      </c>
      <c r="AR6">
        <f>AO6</f>
        <v>0</v>
      </c>
      <c r="AT6" t="s">
        <v>11</v>
      </c>
      <c r="AU6">
        <f>AR6</f>
        <v>0</v>
      </c>
      <c r="AW6" t="s">
        <v>11</v>
      </c>
      <c r="AX6">
        <f>AU6</f>
        <v>0</v>
      </c>
      <c r="AZ6" t="s">
        <v>11</v>
      </c>
      <c r="BA6">
        <f>AX6</f>
        <v>0</v>
      </c>
      <c r="BC6" t="s">
        <v>11</v>
      </c>
      <c r="BD6">
        <f>BA6</f>
        <v>0</v>
      </c>
      <c r="BF6" t="s">
        <v>11</v>
      </c>
      <c r="BG6">
        <f>BD6</f>
        <v>0</v>
      </c>
      <c r="BM6" t="s">
        <v>11</v>
      </c>
      <c r="BN6">
        <f>B6</f>
        <v>0</v>
      </c>
      <c r="BO6">
        <f t="shared" si="0"/>
        <v>0</v>
      </c>
      <c r="BP6">
        <f t="shared" si="1"/>
        <v>0</v>
      </c>
    </row>
    <row r="7" spans="1:68" x14ac:dyDescent="0.25">
      <c r="A7" t="s">
        <v>13</v>
      </c>
      <c r="B7">
        <f>B4-B5-B6</f>
        <v>725000</v>
      </c>
      <c r="D7" t="s">
        <v>13</v>
      </c>
      <c r="E7">
        <f>B7</f>
        <v>725000</v>
      </c>
      <c r="G7" t="s">
        <v>13</v>
      </c>
      <c r="H7">
        <f>E7</f>
        <v>725000</v>
      </c>
      <c r="J7" t="s">
        <v>13</v>
      </c>
      <c r="K7">
        <f>H7</f>
        <v>725000</v>
      </c>
      <c r="M7" t="s">
        <v>13</v>
      </c>
      <c r="N7">
        <f>K7</f>
        <v>725000</v>
      </c>
      <c r="P7" t="s">
        <v>13</v>
      </c>
      <c r="Q7">
        <f>N7</f>
        <v>725000</v>
      </c>
      <c r="S7" t="s">
        <v>13</v>
      </c>
      <c r="T7">
        <f>Q7</f>
        <v>725000</v>
      </c>
      <c r="V7" t="s">
        <v>13</v>
      </c>
      <c r="W7">
        <f>T7</f>
        <v>725000</v>
      </c>
      <c r="Y7" t="s">
        <v>13</v>
      </c>
      <c r="Z7">
        <f>W7</f>
        <v>725000</v>
      </c>
      <c r="AB7" t="s">
        <v>13</v>
      </c>
      <c r="AC7">
        <f>Z7</f>
        <v>725000</v>
      </c>
      <c r="AE7" t="s">
        <v>13</v>
      </c>
      <c r="AF7">
        <f>AC7</f>
        <v>725000</v>
      </c>
      <c r="AH7" t="s">
        <v>13</v>
      </c>
      <c r="AI7">
        <f>AF7</f>
        <v>725000</v>
      </c>
      <c r="AK7" t="s">
        <v>13</v>
      </c>
      <c r="AL7">
        <f>AI7</f>
        <v>725000</v>
      </c>
      <c r="AN7" t="s">
        <v>13</v>
      </c>
      <c r="AO7">
        <f>AL7</f>
        <v>725000</v>
      </c>
      <c r="AQ7" t="s">
        <v>13</v>
      </c>
      <c r="AR7">
        <f>AO7</f>
        <v>725000</v>
      </c>
      <c r="AT7" t="s">
        <v>13</v>
      </c>
      <c r="AU7">
        <f>AR7</f>
        <v>725000</v>
      </c>
      <c r="AW7" t="s">
        <v>13</v>
      </c>
      <c r="AX7">
        <f>AU7</f>
        <v>725000</v>
      </c>
      <c r="AZ7" t="s">
        <v>13</v>
      </c>
      <c r="BA7">
        <f>AX7</f>
        <v>725000</v>
      </c>
      <c r="BC7" t="s">
        <v>13</v>
      </c>
      <c r="BD7">
        <f>BA7</f>
        <v>725000</v>
      </c>
      <c r="BF7" t="s">
        <v>13</v>
      </c>
      <c r="BG7">
        <f>BD7</f>
        <v>725000</v>
      </c>
      <c r="BM7" t="s">
        <v>13</v>
      </c>
      <c r="BN7">
        <f>B7</f>
        <v>725000</v>
      </c>
      <c r="BO7">
        <f t="shared" si="0"/>
        <v>725000</v>
      </c>
      <c r="BP7">
        <f t="shared" si="1"/>
        <v>725000.00000249059</v>
      </c>
    </row>
    <row r="8" spans="1:68" x14ac:dyDescent="0.25">
      <c r="A8" t="s">
        <v>1</v>
      </c>
      <c r="B8">
        <f>(B4/(1-B10)-B4)</f>
        <v>321428.57142857159</v>
      </c>
      <c r="C8" s="7">
        <f>B8/B9</f>
        <v>0.3000000000000001</v>
      </c>
      <c r="D8" t="s">
        <v>18</v>
      </c>
      <c r="E8">
        <f>B20</f>
        <v>321428.57142857159</v>
      </c>
      <c r="F8" s="7">
        <f>E8/E10</f>
        <v>0.30612244897959195</v>
      </c>
      <c r="G8" t="s">
        <v>18</v>
      </c>
      <c r="H8">
        <f>E20</f>
        <v>315000.00000000006</v>
      </c>
      <c r="I8" s="7">
        <f>H8/H10</f>
        <v>0.3018480492813142</v>
      </c>
      <c r="J8" t="s">
        <v>18</v>
      </c>
      <c r="K8">
        <f>H20</f>
        <v>313071.42857142858</v>
      </c>
      <c r="L8" s="7">
        <f>K8/K10</f>
        <v>0.300555441267229</v>
      </c>
      <c r="M8" t="s">
        <v>18</v>
      </c>
      <c r="N8">
        <f>K20</f>
        <v>312492.85714285716</v>
      </c>
      <c r="O8" s="7">
        <f>N8/N10</f>
        <v>0.3001667249861063</v>
      </c>
      <c r="P8" t="s">
        <v>18</v>
      </c>
      <c r="Q8">
        <f>N20</f>
        <v>312319.28571428568</v>
      </c>
      <c r="R8" s="7">
        <f>Q8/Q10</f>
        <v>0.30005002583638873</v>
      </c>
      <c r="S8" t="s">
        <v>18</v>
      </c>
      <c r="T8">
        <f>Q20</f>
        <v>312267.21428571426</v>
      </c>
      <c r="U8" s="7">
        <f>T8/T10</f>
        <v>0.30001500850172946</v>
      </c>
      <c r="V8" t="s">
        <v>18</v>
      </c>
      <c r="W8">
        <f>T20</f>
        <v>312251.59285714285</v>
      </c>
      <c r="X8" s="7">
        <f>W8/W10</f>
        <v>0.30000450261809641</v>
      </c>
      <c r="Y8" t="s">
        <v>18</v>
      </c>
      <c r="Z8">
        <f>W20</f>
        <v>312246.90642857144</v>
      </c>
      <c r="AA8" s="7">
        <f>Z8/Z10</f>
        <v>0.30000135079151102</v>
      </c>
      <c r="AB8" t="s">
        <v>18</v>
      </c>
      <c r="AC8">
        <f>Z20</f>
        <v>312245.50049999997</v>
      </c>
      <c r="AD8" s="7">
        <f>AC8/AC10</f>
        <v>0.3000004052380007</v>
      </c>
      <c r="AE8" t="s">
        <v>18</v>
      </c>
      <c r="AF8">
        <f>AC20</f>
        <v>312245.07872142852</v>
      </c>
      <c r="AG8" s="7">
        <f>AF8/AF10</f>
        <v>0.3000001215714494</v>
      </c>
      <c r="AH8" t="s">
        <v>18</v>
      </c>
      <c r="AI8">
        <f>AF20</f>
        <v>312244.95218785712</v>
      </c>
      <c r="AJ8" s="7">
        <f>AI8/AI10</f>
        <v>0.30000003647143925</v>
      </c>
      <c r="AK8" t="s">
        <v>18</v>
      </c>
      <c r="AL8">
        <f>AI20</f>
        <v>312244.91422778572</v>
      </c>
      <c r="AM8" s="7">
        <f>AL8/AL10</f>
        <v>0.30000001094143219</v>
      </c>
      <c r="AN8" t="s">
        <v>18</v>
      </c>
      <c r="AO8">
        <f>AL20</f>
        <v>312244.90283976425</v>
      </c>
      <c r="AP8" s="7">
        <f>AO8/AO10</f>
        <v>0.30000000328242965</v>
      </c>
      <c r="AQ8" t="s">
        <v>18</v>
      </c>
      <c r="AR8">
        <f>AO20</f>
        <v>312244.89942335786</v>
      </c>
      <c r="AS8" s="7">
        <f>AR8/AR10</f>
        <v>0.3000000009847289</v>
      </c>
      <c r="AT8" t="s">
        <v>18</v>
      </c>
      <c r="AU8">
        <f>AR20</f>
        <v>312244.89839843591</v>
      </c>
      <c r="AV8" s="7">
        <f>AU8/AU10</f>
        <v>0.30000000029541862</v>
      </c>
      <c r="AW8" t="s">
        <v>18</v>
      </c>
      <c r="AX8">
        <f>AU20</f>
        <v>312244.89809095935</v>
      </c>
      <c r="AY8" s="7">
        <f>AX8/AX10</f>
        <v>0.3000000000886256</v>
      </c>
      <c r="AZ8" t="s">
        <v>18</v>
      </c>
      <c r="BA8">
        <f>AX20</f>
        <v>312244.89799871639</v>
      </c>
      <c r="BB8" s="7">
        <f>BA8/BA10</f>
        <v>0.30000000002658767</v>
      </c>
      <c r="BC8" t="s">
        <v>18</v>
      </c>
      <c r="BD8">
        <f>BA20</f>
        <v>312244.89797104348</v>
      </c>
      <c r="BE8" s="7">
        <f>BD8/BD10</f>
        <v>0.30000000000797633</v>
      </c>
      <c r="BF8" t="s">
        <v>18</v>
      </c>
      <c r="BG8">
        <f>BD20</f>
        <v>312244.89796274161</v>
      </c>
      <c r="BH8" s="7">
        <f>BG8/BG10</f>
        <v>0.30000000000239291</v>
      </c>
      <c r="BM8" t="s">
        <v>18</v>
      </c>
      <c r="BN8">
        <f>B20</f>
        <v>321428.57142857159</v>
      </c>
      <c r="BO8">
        <f t="shared" si="0"/>
        <v>312244.89796274161</v>
      </c>
      <c r="BP8">
        <f t="shared" si="1"/>
        <v>312244.89796025102</v>
      </c>
    </row>
    <row r="9" spans="1:68" x14ac:dyDescent="0.25">
      <c r="A9" t="s">
        <v>2</v>
      </c>
      <c r="B9" s="1">
        <f>B8+B4</f>
        <v>1071428.5714285716</v>
      </c>
      <c r="D9" t="s">
        <v>19</v>
      </c>
      <c r="E9">
        <f>E8-B14</f>
        <v>300000.00000000017</v>
      </c>
      <c r="G9" t="s">
        <v>19</v>
      </c>
      <c r="H9">
        <f>H8-E14</f>
        <v>293571.42857142864</v>
      </c>
      <c r="J9" t="s">
        <v>19</v>
      </c>
      <c r="K9">
        <f>K8-H14</f>
        <v>291642.85714285716</v>
      </c>
      <c r="M9" t="s">
        <v>19</v>
      </c>
      <c r="N9">
        <f>N8-K14</f>
        <v>291064.28571428574</v>
      </c>
      <c r="P9" t="s">
        <v>19</v>
      </c>
      <c r="Q9">
        <f>Q8-N14</f>
        <v>290890.71428571426</v>
      </c>
      <c r="S9" t="s">
        <v>19</v>
      </c>
      <c r="T9">
        <f>T8-Q14</f>
        <v>290838.64285714284</v>
      </c>
      <c r="V9" t="s">
        <v>19</v>
      </c>
      <c r="W9">
        <f>W8-T14</f>
        <v>290823.02142857143</v>
      </c>
      <c r="Y9" t="s">
        <v>19</v>
      </c>
      <c r="Z9">
        <f>Z8-W14</f>
        <v>290818.33500000002</v>
      </c>
      <c r="AB9" t="s">
        <v>19</v>
      </c>
      <c r="AC9">
        <f>AC8-Z14</f>
        <v>290816.92907142855</v>
      </c>
      <c r="AE9" t="s">
        <v>19</v>
      </c>
      <c r="AF9">
        <f>AF8-AC14</f>
        <v>290816.5072928571</v>
      </c>
      <c r="AH9" t="s">
        <v>19</v>
      </c>
      <c r="AI9">
        <f>AI8-AF14</f>
        <v>290816.3807592857</v>
      </c>
      <c r="AK9" t="s">
        <v>19</v>
      </c>
      <c r="AL9">
        <f>AL8-AI14</f>
        <v>290816.3427992143</v>
      </c>
      <c r="AN9" t="s">
        <v>19</v>
      </c>
      <c r="AO9">
        <f>AO8-AL14</f>
        <v>290816.33141119283</v>
      </c>
      <c r="AQ9" t="s">
        <v>19</v>
      </c>
      <c r="AR9">
        <f>AR8-AO14</f>
        <v>290816.32799478644</v>
      </c>
      <c r="AT9" t="s">
        <v>19</v>
      </c>
      <c r="AU9">
        <f>AU8-AR14</f>
        <v>290816.32696986449</v>
      </c>
      <c r="AW9" t="s">
        <v>19</v>
      </c>
      <c r="AX9">
        <f>AX8-AU14</f>
        <v>290816.32666238793</v>
      </c>
      <c r="AZ9" t="s">
        <v>19</v>
      </c>
      <c r="BA9">
        <f>BA8-AX14</f>
        <v>290816.32657014497</v>
      </c>
      <c r="BC9" t="s">
        <v>19</v>
      </c>
      <c r="BD9">
        <f>BD8-BA14</f>
        <v>290816.32654247206</v>
      </c>
      <c r="BF9" t="s">
        <v>19</v>
      </c>
      <c r="BG9">
        <f>BG8-BD14</f>
        <v>290816.32653417019</v>
      </c>
      <c r="BM9" t="s">
        <v>19</v>
      </c>
      <c r="BN9">
        <f>B20-B14</f>
        <v>300000.00000000017</v>
      </c>
      <c r="BO9">
        <f t="shared" si="0"/>
        <v>290816.32653417019</v>
      </c>
      <c r="BP9">
        <f t="shared" si="1"/>
        <v>290816.3265316796</v>
      </c>
    </row>
    <row r="10" spans="1:68" x14ac:dyDescent="0.25">
      <c r="A10" t="s">
        <v>3</v>
      </c>
      <c r="B10" s="13">
        <v>0.3</v>
      </c>
      <c r="D10" t="s">
        <v>2</v>
      </c>
      <c r="E10" s="1">
        <f>E9+E4</f>
        <v>1050000.0000000002</v>
      </c>
      <c r="G10" t="s">
        <v>2</v>
      </c>
      <c r="H10" s="1">
        <f>H9+H4</f>
        <v>1043571.4285714286</v>
      </c>
      <c r="J10" t="s">
        <v>2</v>
      </c>
      <c r="K10" s="1">
        <f>K9+K4</f>
        <v>1041642.8571428572</v>
      </c>
      <c r="M10" t="s">
        <v>2</v>
      </c>
      <c r="N10" s="1">
        <f>N9+N4</f>
        <v>1041064.2857142857</v>
      </c>
      <c r="P10" t="s">
        <v>2</v>
      </c>
      <c r="Q10" s="1">
        <f>Q9+Q4</f>
        <v>1040890.7142857143</v>
      </c>
      <c r="S10" t="s">
        <v>2</v>
      </c>
      <c r="T10" s="1">
        <f>T9+T4</f>
        <v>1040838.6428571428</v>
      </c>
      <c r="V10" t="s">
        <v>2</v>
      </c>
      <c r="W10" s="1">
        <f>W9+W4</f>
        <v>1040823.0214285714</v>
      </c>
      <c r="Y10" t="s">
        <v>2</v>
      </c>
      <c r="Z10" s="1">
        <f>Z9+Z4</f>
        <v>1040818.335</v>
      </c>
      <c r="AB10" t="s">
        <v>2</v>
      </c>
      <c r="AC10" s="1">
        <f>AC9+AC4</f>
        <v>1040816.9290714285</v>
      </c>
      <c r="AE10" t="s">
        <v>2</v>
      </c>
      <c r="AF10" s="1">
        <f>AF9+AF4</f>
        <v>1040816.5072928572</v>
      </c>
      <c r="AH10" t="s">
        <v>2</v>
      </c>
      <c r="AI10" s="1">
        <f>AI9+AI4</f>
        <v>1040816.3807592858</v>
      </c>
      <c r="AK10" t="s">
        <v>2</v>
      </c>
      <c r="AL10" s="1">
        <f>AL9+AL4</f>
        <v>1040816.3427992143</v>
      </c>
      <c r="AN10" t="s">
        <v>2</v>
      </c>
      <c r="AO10" s="1">
        <f>AO9+AO4</f>
        <v>1040816.3314111929</v>
      </c>
      <c r="AQ10" t="s">
        <v>2</v>
      </c>
      <c r="AR10" s="1">
        <f>AR9+AR4</f>
        <v>1040816.3279947864</v>
      </c>
      <c r="AT10" t="s">
        <v>2</v>
      </c>
      <c r="AU10" s="1">
        <f>AU9+AU4</f>
        <v>1040816.3269698645</v>
      </c>
      <c r="AW10" t="s">
        <v>2</v>
      </c>
      <c r="AX10" s="1">
        <f>AX9+AX4</f>
        <v>1040816.3266623879</v>
      </c>
      <c r="AZ10" t="s">
        <v>2</v>
      </c>
      <c r="BA10" s="1">
        <f>BA9+BA4</f>
        <v>1040816.326570145</v>
      </c>
      <c r="BC10" t="s">
        <v>2</v>
      </c>
      <c r="BD10" s="1">
        <f>BD9+BD4</f>
        <v>1040816.326542472</v>
      </c>
      <c r="BF10" t="s">
        <v>2</v>
      </c>
      <c r="BG10" s="1">
        <f>BG9+BG4</f>
        <v>1040816.3265341702</v>
      </c>
      <c r="BI10" s="10" t="s">
        <v>46</v>
      </c>
      <c r="BJ10" s="11">
        <f>BG9/BG7</f>
        <v>0.40112596763333819</v>
      </c>
      <c r="BM10" t="s">
        <v>2</v>
      </c>
      <c r="BN10">
        <f>BN9+BN4</f>
        <v>1050000.0000000002</v>
      </c>
      <c r="BO10">
        <f t="shared" si="0"/>
        <v>1040816.3265341702</v>
      </c>
      <c r="BP10">
        <f t="shared" si="1"/>
        <v>1040816.3265341702</v>
      </c>
    </row>
    <row r="11" spans="1:68" x14ac:dyDescent="0.25">
      <c r="A11" t="s">
        <v>9</v>
      </c>
      <c r="B11" s="13">
        <v>0.56000000000000005</v>
      </c>
      <c r="E11">
        <f>B9-E10</f>
        <v>21428.571428571362</v>
      </c>
      <c r="H11">
        <f>E10-H10</f>
        <v>6428.5714285715949</v>
      </c>
      <c r="K11">
        <f>H10-K10</f>
        <v>1928.5714285714785</v>
      </c>
      <c r="N11">
        <f>K10-N10</f>
        <v>578.57142857147846</v>
      </c>
      <c r="Q11">
        <f>N10-Q10</f>
        <v>173.57142857136205</v>
      </c>
      <c r="T11">
        <f>Q10-T10</f>
        <v>52.071428571478464</v>
      </c>
      <c r="W11">
        <f>T10-W10</f>
        <v>15.621428571408615</v>
      </c>
      <c r="Z11">
        <f>W10-Z10</f>
        <v>4.6864285714691505</v>
      </c>
      <c r="AC11">
        <f>Z10-AC10</f>
        <v>1.4059285714756697</v>
      </c>
      <c r="AF11">
        <f>AC10-AF10</f>
        <v>0.4217785713262856</v>
      </c>
      <c r="AI11">
        <f>AF10-AI10</f>
        <v>0.12653357139788568</v>
      </c>
      <c r="AL11">
        <f>AI10-AL10</f>
        <v>3.7960071465931833E-2</v>
      </c>
      <c r="AO11">
        <f>AL10-AO10</f>
        <v>1.1388021404854953E-2</v>
      </c>
      <c r="AR11">
        <f>AO10-AR10</f>
        <v>3.4164064563810825E-3</v>
      </c>
      <c r="AU11">
        <f>AR10-AU10</f>
        <v>1.024921890348196E-3</v>
      </c>
      <c r="AX11" s="4">
        <f>AU10-AX10</f>
        <v>3.0747661367058754E-4</v>
      </c>
      <c r="BA11" s="4">
        <f>AX10-BA10</f>
        <v>9.2242960818111897E-5</v>
      </c>
      <c r="BD11" s="4">
        <f>BA10-BD10</f>
        <v>2.7672969736158848E-5</v>
      </c>
      <c r="BG11" s="4">
        <f>BD10-BG10</f>
        <v>8.3018094301223755E-6</v>
      </c>
      <c r="BI11" s="10" t="s">
        <v>47</v>
      </c>
      <c r="BJ11" s="11">
        <f>BG8/BG4</f>
        <v>0.41632653061698882</v>
      </c>
    </row>
    <row r="12" spans="1:68" x14ac:dyDescent="0.25">
      <c r="BM12" t="s">
        <v>0</v>
      </c>
      <c r="BO12" s="5">
        <f t="shared" ref="BO12:BP18" si="2">BO4-BN4</f>
        <v>0</v>
      </c>
      <c r="BP12" s="5">
        <f t="shared" si="2"/>
        <v>2.4905893951654434E-6</v>
      </c>
    </row>
    <row r="13" spans="1:68" x14ac:dyDescent="0.25">
      <c r="A13" t="s">
        <v>4</v>
      </c>
      <c r="B13" s="2">
        <v>50000</v>
      </c>
      <c r="D13" t="s">
        <v>4</v>
      </c>
      <c r="E13">
        <f>B13</f>
        <v>50000</v>
      </c>
      <c r="G13" t="s">
        <v>4</v>
      </c>
      <c r="H13">
        <f>E13</f>
        <v>50000</v>
      </c>
      <c r="J13" t="s">
        <v>4</v>
      </c>
      <c r="K13">
        <f>H13</f>
        <v>50000</v>
      </c>
      <c r="M13" t="s">
        <v>4</v>
      </c>
      <c r="N13">
        <f>K13</f>
        <v>50000</v>
      </c>
      <c r="P13" t="s">
        <v>4</v>
      </c>
      <c r="Q13">
        <f>N13</f>
        <v>50000</v>
      </c>
      <c r="S13" t="s">
        <v>4</v>
      </c>
      <c r="T13">
        <f>Q13</f>
        <v>50000</v>
      </c>
      <c r="V13" t="s">
        <v>4</v>
      </c>
      <c r="W13">
        <f>T13</f>
        <v>50000</v>
      </c>
      <c r="Y13" t="s">
        <v>4</v>
      </c>
      <c r="Z13">
        <f>W13</f>
        <v>50000</v>
      </c>
      <c r="AB13" t="s">
        <v>4</v>
      </c>
      <c r="AC13">
        <f>Z13</f>
        <v>50000</v>
      </c>
      <c r="AE13" t="s">
        <v>4</v>
      </c>
      <c r="AF13">
        <f>AC13</f>
        <v>50000</v>
      </c>
      <c r="AH13" t="s">
        <v>4</v>
      </c>
      <c r="AI13">
        <f>AF13</f>
        <v>50000</v>
      </c>
      <c r="AK13" t="s">
        <v>4</v>
      </c>
      <c r="AL13">
        <f>AI13</f>
        <v>50000</v>
      </c>
      <c r="AN13" t="s">
        <v>4</v>
      </c>
      <c r="AO13">
        <f>AL13</f>
        <v>50000</v>
      </c>
      <c r="AQ13" t="s">
        <v>4</v>
      </c>
      <c r="AR13">
        <f>AO13</f>
        <v>50000</v>
      </c>
      <c r="AT13" t="s">
        <v>4</v>
      </c>
      <c r="AU13">
        <f>AR13</f>
        <v>50000</v>
      </c>
      <c r="AW13" t="s">
        <v>4</v>
      </c>
      <c r="AX13">
        <f>AU13</f>
        <v>50000</v>
      </c>
      <c r="AZ13" t="s">
        <v>4</v>
      </c>
      <c r="BA13">
        <f>AX13</f>
        <v>50000</v>
      </c>
      <c r="BC13" t="s">
        <v>4</v>
      </c>
      <c r="BD13">
        <f>BA13</f>
        <v>50000</v>
      </c>
      <c r="BF13" t="s">
        <v>4</v>
      </c>
      <c r="BG13">
        <f>BD13</f>
        <v>50000</v>
      </c>
      <c r="BM13" t="s">
        <v>12</v>
      </c>
      <c r="BO13" s="5">
        <f t="shared" si="2"/>
        <v>0</v>
      </c>
      <c r="BP13" s="5">
        <f t="shared" si="2"/>
        <v>0</v>
      </c>
    </row>
    <row r="14" spans="1:68" x14ac:dyDescent="0.25">
      <c r="A14" t="s">
        <v>5</v>
      </c>
      <c r="B14">
        <f>(B13/(1-B10)-B13)</f>
        <v>21428.571428571435</v>
      </c>
      <c r="D14" t="s">
        <v>5</v>
      </c>
      <c r="E14">
        <f>B14</f>
        <v>21428.571428571435</v>
      </c>
      <c r="G14" t="s">
        <v>5</v>
      </c>
      <c r="H14">
        <f>E14</f>
        <v>21428.571428571435</v>
      </c>
      <c r="J14" t="s">
        <v>5</v>
      </c>
      <c r="K14">
        <f>H14</f>
        <v>21428.571428571435</v>
      </c>
      <c r="M14" t="s">
        <v>5</v>
      </c>
      <c r="N14">
        <f>K14</f>
        <v>21428.571428571435</v>
      </c>
      <c r="P14" t="s">
        <v>5</v>
      </c>
      <c r="Q14">
        <f>N14</f>
        <v>21428.571428571435</v>
      </c>
      <c r="S14" t="s">
        <v>5</v>
      </c>
      <c r="T14">
        <f>Q14</f>
        <v>21428.571428571435</v>
      </c>
      <c r="V14" t="s">
        <v>5</v>
      </c>
      <c r="W14">
        <f>T14</f>
        <v>21428.571428571435</v>
      </c>
      <c r="Y14" t="s">
        <v>5</v>
      </c>
      <c r="Z14">
        <f>W14</f>
        <v>21428.571428571435</v>
      </c>
      <c r="AB14" t="s">
        <v>5</v>
      </c>
      <c r="AC14">
        <f>Z14</f>
        <v>21428.571428571435</v>
      </c>
      <c r="AE14" t="s">
        <v>5</v>
      </c>
      <c r="AF14">
        <f>AC14</f>
        <v>21428.571428571435</v>
      </c>
      <c r="AH14" t="s">
        <v>5</v>
      </c>
      <c r="AI14">
        <f>AF14</f>
        <v>21428.571428571435</v>
      </c>
      <c r="AK14" t="s">
        <v>5</v>
      </c>
      <c r="AL14">
        <f>AI14</f>
        <v>21428.571428571435</v>
      </c>
      <c r="AN14" t="s">
        <v>5</v>
      </c>
      <c r="AO14">
        <f>AL14</f>
        <v>21428.571428571435</v>
      </c>
      <c r="AQ14" t="s">
        <v>5</v>
      </c>
      <c r="AR14">
        <f>AO14</f>
        <v>21428.571428571435</v>
      </c>
      <c r="AT14" t="s">
        <v>5</v>
      </c>
      <c r="AU14">
        <f>AR14</f>
        <v>21428.571428571435</v>
      </c>
      <c r="AW14" t="s">
        <v>5</v>
      </c>
      <c r="AX14">
        <f>AU14</f>
        <v>21428.571428571435</v>
      </c>
      <c r="AZ14" t="s">
        <v>5</v>
      </c>
      <c r="BA14">
        <f>AX14</f>
        <v>21428.571428571435</v>
      </c>
      <c r="BC14" t="s">
        <v>5</v>
      </c>
      <c r="BD14">
        <f>BA14</f>
        <v>21428.571428571435</v>
      </c>
      <c r="BF14" t="s">
        <v>5</v>
      </c>
      <c r="BG14">
        <f>BD14</f>
        <v>21428.571428571435</v>
      </c>
      <c r="BM14" t="s">
        <v>11</v>
      </c>
      <c r="BO14" s="5">
        <f t="shared" si="2"/>
        <v>0</v>
      </c>
      <c r="BP14" s="5">
        <f t="shared" si="2"/>
        <v>0</v>
      </c>
    </row>
    <row r="15" spans="1:68" x14ac:dyDescent="0.25">
      <c r="A15" t="s">
        <v>10</v>
      </c>
      <c r="B15">
        <f>B14+B13</f>
        <v>71428.571428571435</v>
      </c>
      <c r="D15" t="s">
        <v>10</v>
      </c>
      <c r="E15">
        <f>B15</f>
        <v>71428.571428571435</v>
      </c>
      <c r="G15" t="s">
        <v>10</v>
      </c>
      <c r="H15">
        <f>E15</f>
        <v>71428.571428571435</v>
      </c>
      <c r="J15" t="s">
        <v>10</v>
      </c>
      <c r="K15">
        <f>H15</f>
        <v>71428.571428571435</v>
      </c>
      <c r="M15" t="s">
        <v>10</v>
      </c>
      <c r="N15">
        <f>K15</f>
        <v>71428.571428571435</v>
      </c>
      <c r="P15" t="s">
        <v>10</v>
      </c>
      <c r="Q15">
        <f>N15</f>
        <v>71428.571428571435</v>
      </c>
      <c r="S15" t="s">
        <v>10</v>
      </c>
      <c r="T15">
        <f>Q15</f>
        <v>71428.571428571435</v>
      </c>
      <c r="V15" t="s">
        <v>10</v>
      </c>
      <c r="W15">
        <f>T15</f>
        <v>71428.571428571435</v>
      </c>
      <c r="Y15" t="s">
        <v>10</v>
      </c>
      <c r="Z15">
        <f>W15</f>
        <v>71428.571428571435</v>
      </c>
      <c r="AB15" t="s">
        <v>10</v>
      </c>
      <c r="AC15">
        <f>Z15</f>
        <v>71428.571428571435</v>
      </c>
      <c r="AE15" t="s">
        <v>10</v>
      </c>
      <c r="AF15">
        <f>AC15</f>
        <v>71428.571428571435</v>
      </c>
      <c r="AH15" t="s">
        <v>10</v>
      </c>
      <c r="AI15">
        <f>AF15</f>
        <v>71428.571428571435</v>
      </c>
      <c r="AK15" t="s">
        <v>10</v>
      </c>
      <c r="AL15">
        <f>AI15</f>
        <v>71428.571428571435</v>
      </c>
      <c r="AN15" t="s">
        <v>10</v>
      </c>
      <c r="AO15">
        <f>AL15</f>
        <v>71428.571428571435</v>
      </c>
      <c r="AQ15" t="s">
        <v>10</v>
      </c>
      <c r="AR15">
        <f>AO15</f>
        <v>71428.571428571435</v>
      </c>
      <c r="AT15" t="s">
        <v>10</v>
      </c>
      <c r="AU15">
        <f>AR15</f>
        <v>71428.571428571435</v>
      </c>
      <c r="AW15" t="s">
        <v>10</v>
      </c>
      <c r="AX15">
        <f>AU15</f>
        <v>71428.571428571435</v>
      </c>
      <c r="AZ15" t="s">
        <v>10</v>
      </c>
      <c r="BA15">
        <f>AX15</f>
        <v>71428.571428571435</v>
      </c>
      <c r="BC15" t="s">
        <v>10</v>
      </c>
      <c r="BD15">
        <f>BA15</f>
        <v>71428.571428571435</v>
      </c>
      <c r="BF15" t="s">
        <v>10</v>
      </c>
      <c r="BG15">
        <f>BD15</f>
        <v>71428.571428571435</v>
      </c>
      <c r="BM15" t="s">
        <v>13</v>
      </c>
      <c r="BO15" s="5">
        <f t="shared" si="2"/>
        <v>0</v>
      </c>
      <c r="BP15" s="5">
        <f t="shared" si="2"/>
        <v>2.4905893951654434E-6</v>
      </c>
    </row>
    <row r="16" spans="1:68" x14ac:dyDescent="0.25">
      <c r="BM16" t="s">
        <v>18</v>
      </c>
      <c r="BO16" s="5">
        <f t="shared" si="2"/>
        <v>-9183.6734658299829</v>
      </c>
      <c r="BP16" s="5">
        <f t="shared" si="2"/>
        <v>-2.4905893951654434E-6</v>
      </c>
    </row>
    <row r="17" spans="1:68" x14ac:dyDescent="0.25">
      <c r="A17" t="s">
        <v>6</v>
      </c>
      <c r="D17" t="s">
        <v>6</v>
      </c>
      <c r="G17" t="s">
        <v>6</v>
      </c>
      <c r="J17" t="s">
        <v>6</v>
      </c>
      <c r="M17" t="s">
        <v>6</v>
      </c>
      <c r="P17" t="s">
        <v>6</v>
      </c>
      <c r="S17" t="s">
        <v>6</v>
      </c>
      <c r="V17" t="s">
        <v>6</v>
      </c>
      <c r="Y17" t="s">
        <v>6</v>
      </c>
      <c r="AB17" t="s">
        <v>6</v>
      </c>
      <c r="AE17" t="s">
        <v>6</v>
      </c>
      <c r="AH17" t="s">
        <v>6</v>
      </c>
      <c r="AK17" t="s">
        <v>6</v>
      </c>
      <c r="AN17" t="s">
        <v>6</v>
      </c>
      <c r="AQ17" t="s">
        <v>6</v>
      </c>
      <c r="AT17" t="s">
        <v>6</v>
      </c>
      <c r="AW17" t="s">
        <v>6</v>
      </c>
      <c r="AZ17" t="s">
        <v>6</v>
      </c>
      <c r="BC17" t="s">
        <v>6</v>
      </c>
      <c r="BF17" t="s">
        <v>6</v>
      </c>
      <c r="BM17" t="s">
        <v>19</v>
      </c>
      <c r="BO17" s="5">
        <f t="shared" si="2"/>
        <v>-9183.6734658299829</v>
      </c>
      <c r="BP17" s="5">
        <f t="shared" si="2"/>
        <v>-2.4905893951654434E-6</v>
      </c>
    </row>
    <row r="18" spans="1:68" x14ac:dyDescent="0.25">
      <c r="A18" t="s">
        <v>7</v>
      </c>
      <c r="B18">
        <f>B8</f>
        <v>321428.57142857159</v>
      </c>
      <c r="D18" t="s">
        <v>7</v>
      </c>
      <c r="E18">
        <f>E10*$B$10</f>
        <v>315000.00000000006</v>
      </c>
      <c r="G18" t="s">
        <v>7</v>
      </c>
      <c r="H18">
        <f>H10*$B$10</f>
        <v>313071.42857142858</v>
      </c>
      <c r="J18" t="s">
        <v>7</v>
      </c>
      <c r="K18">
        <f>K10*$B$10</f>
        <v>312492.85714285716</v>
      </c>
      <c r="M18" t="s">
        <v>7</v>
      </c>
      <c r="N18">
        <f>N10*$B$10</f>
        <v>312319.28571428568</v>
      </c>
      <c r="P18" t="s">
        <v>7</v>
      </c>
      <c r="Q18">
        <f>Q10*$B$10</f>
        <v>312267.21428571426</v>
      </c>
      <c r="S18" t="s">
        <v>7</v>
      </c>
      <c r="T18">
        <f>T10*$B$10</f>
        <v>312251.59285714285</v>
      </c>
      <c r="V18" t="s">
        <v>7</v>
      </c>
      <c r="W18">
        <f>W10*$B$10</f>
        <v>312246.90642857144</v>
      </c>
      <c r="Y18" t="s">
        <v>7</v>
      </c>
      <c r="Z18">
        <f>Z10*$B$10</f>
        <v>312245.50049999997</v>
      </c>
      <c r="AB18" t="s">
        <v>7</v>
      </c>
      <c r="AC18">
        <f>AC10*$B$10</f>
        <v>312245.07872142852</v>
      </c>
      <c r="AE18" t="s">
        <v>7</v>
      </c>
      <c r="AF18">
        <f>AF10*$B$10</f>
        <v>312244.95218785712</v>
      </c>
      <c r="AH18" t="s">
        <v>7</v>
      </c>
      <c r="AI18">
        <f>AI10*$B$10</f>
        <v>312244.91422778572</v>
      </c>
      <c r="AK18" t="s">
        <v>7</v>
      </c>
      <c r="AL18">
        <f>AL10*$B$10</f>
        <v>312244.90283976425</v>
      </c>
      <c r="AN18" t="s">
        <v>7</v>
      </c>
      <c r="AO18">
        <f>AO10*$B$10</f>
        <v>312244.89942335786</v>
      </c>
      <c r="AQ18" t="s">
        <v>7</v>
      </c>
      <c r="AR18">
        <f>AR10*$B$10</f>
        <v>312244.89839843591</v>
      </c>
      <c r="AT18" t="s">
        <v>7</v>
      </c>
      <c r="AU18">
        <f>AU10*$B$10</f>
        <v>312244.89809095935</v>
      </c>
      <c r="AW18" t="s">
        <v>7</v>
      </c>
      <c r="AX18">
        <f>AX10*$B$10</f>
        <v>312244.89799871639</v>
      </c>
      <c r="AZ18" t="s">
        <v>7</v>
      </c>
      <c r="BA18">
        <f>BA10*$B$10</f>
        <v>312244.89797104348</v>
      </c>
      <c r="BC18" t="s">
        <v>7</v>
      </c>
      <c r="BD18">
        <f>BD10*$B$10</f>
        <v>312244.89796274161</v>
      </c>
      <c r="BF18" t="s">
        <v>7</v>
      </c>
      <c r="BG18">
        <f>BG10*$B$10</f>
        <v>312244.89796025102</v>
      </c>
      <c r="BM18" t="s">
        <v>2</v>
      </c>
      <c r="BO18" s="5">
        <f t="shared" si="2"/>
        <v>-9183.6734658300411</v>
      </c>
      <c r="BP18" s="5">
        <f t="shared" si="2"/>
        <v>0</v>
      </c>
    </row>
    <row r="19" spans="1:68" x14ac:dyDescent="0.25">
      <c r="A19" t="s">
        <v>8</v>
      </c>
      <c r="B19">
        <f>B7*B11+B14</f>
        <v>427428.57142857148</v>
      </c>
      <c r="D19" t="s">
        <v>8</v>
      </c>
      <c r="E19">
        <f>E7*$B$11+E14</f>
        <v>427428.57142857148</v>
      </c>
      <c r="G19" t="s">
        <v>8</v>
      </c>
      <c r="H19">
        <f>H7*$B$11+H14</f>
        <v>427428.57142857148</v>
      </c>
      <c r="J19" t="s">
        <v>8</v>
      </c>
      <c r="K19">
        <f>K7*$B$11+K14</f>
        <v>427428.57142857148</v>
      </c>
      <c r="M19" t="s">
        <v>8</v>
      </c>
      <c r="N19">
        <f>N7*$B$11+N14</f>
        <v>427428.57142857148</v>
      </c>
      <c r="P19" t="s">
        <v>8</v>
      </c>
      <c r="Q19">
        <f>Q7*$B$11+Q14</f>
        <v>427428.57142857148</v>
      </c>
      <c r="S19" t="s">
        <v>8</v>
      </c>
      <c r="T19">
        <f>T7*$B$11+T14</f>
        <v>427428.57142857148</v>
      </c>
      <c r="V19" t="s">
        <v>8</v>
      </c>
      <c r="W19">
        <f>W7*$B$11+W14</f>
        <v>427428.57142857148</v>
      </c>
      <c r="Y19" t="s">
        <v>8</v>
      </c>
      <c r="Z19">
        <f>Z7*$B$11+Z14</f>
        <v>427428.57142857148</v>
      </c>
      <c r="AB19" t="s">
        <v>8</v>
      </c>
      <c r="AC19">
        <f>AC7*$B$11+AC14</f>
        <v>427428.57142857148</v>
      </c>
      <c r="AE19" t="s">
        <v>8</v>
      </c>
      <c r="AF19">
        <f>AF7*$B$11+AF14</f>
        <v>427428.57142857148</v>
      </c>
      <c r="AH19" t="s">
        <v>8</v>
      </c>
      <c r="AI19">
        <f>AI7*$B$11+AI14</f>
        <v>427428.57142857148</v>
      </c>
      <c r="AK19" t="s">
        <v>8</v>
      </c>
      <c r="AL19">
        <f>AL7*$B$11+AL14</f>
        <v>427428.57142857148</v>
      </c>
      <c r="AN19" t="s">
        <v>8</v>
      </c>
      <c r="AO19">
        <f>AO7*$B$11+AO14</f>
        <v>427428.57142857148</v>
      </c>
      <c r="AQ19" t="s">
        <v>8</v>
      </c>
      <c r="AR19">
        <f>AR7*$B$11+AR14</f>
        <v>427428.57142857148</v>
      </c>
      <c r="AT19" t="s">
        <v>8</v>
      </c>
      <c r="AU19">
        <f>AU7*$B$11+AU14</f>
        <v>427428.57142857148</v>
      </c>
      <c r="AW19" t="s">
        <v>8</v>
      </c>
      <c r="AX19">
        <f>AX7*$B$11+AX14</f>
        <v>427428.57142857148</v>
      </c>
      <c r="AZ19" t="s">
        <v>8</v>
      </c>
      <c r="BA19">
        <f>BA7*$B$11+BA14</f>
        <v>427428.57142857148</v>
      </c>
      <c r="BC19" t="s">
        <v>8</v>
      </c>
      <c r="BD19">
        <f>BD7*$B$11+BD14</f>
        <v>427428.57142857148</v>
      </c>
      <c r="BF19" t="s">
        <v>8</v>
      </c>
      <c r="BG19">
        <f>BG7*$B$11+BG14</f>
        <v>427428.57142857148</v>
      </c>
    </row>
    <row r="20" spans="1:68" x14ac:dyDescent="0.25">
      <c r="A20" t="s">
        <v>14</v>
      </c>
      <c r="B20" s="1">
        <f>IF(B18&lt;B19,B18,B19)</f>
        <v>321428.57142857159</v>
      </c>
      <c r="C20" t="str">
        <f>IF(B20=B19,"MTDC","TFFA")</f>
        <v>TFFA</v>
      </c>
      <c r="D20" t="s">
        <v>14</v>
      </c>
      <c r="E20" s="1">
        <f>IF(E18&lt;E19,E18,E19)</f>
        <v>315000.00000000006</v>
      </c>
      <c r="F20" t="str">
        <f>IF(E20=E19,"MTDC","TFFA")</f>
        <v>TFFA</v>
      </c>
      <c r="G20" t="s">
        <v>14</v>
      </c>
      <c r="H20" s="1">
        <f>IF(H18&lt;H19,H18,H19)</f>
        <v>313071.42857142858</v>
      </c>
      <c r="I20" t="str">
        <f>IF(H20=H19,"MTDC","TFFA")</f>
        <v>TFFA</v>
      </c>
      <c r="J20" t="s">
        <v>14</v>
      </c>
      <c r="K20" s="1">
        <f>IF(K18&lt;K19,K18,K19)</f>
        <v>312492.85714285716</v>
      </c>
      <c r="L20" t="str">
        <f>IF(K20=K19,"MTDC","TFFA")</f>
        <v>TFFA</v>
      </c>
      <c r="M20" t="s">
        <v>14</v>
      </c>
      <c r="N20" s="1">
        <f>IF(N18&lt;N19,N18,N19)</f>
        <v>312319.28571428568</v>
      </c>
      <c r="O20" t="str">
        <f>IF(N20=N19,"MTDC","TFFA")</f>
        <v>TFFA</v>
      </c>
      <c r="P20" t="s">
        <v>14</v>
      </c>
      <c r="Q20" s="1">
        <f>IF(Q18&lt;Q19,Q18,Q19)</f>
        <v>312267.21428571426</v>
      </c>
      <c r="R20" t="str">
        <f>IF(Q20=Q19,"MTDC","TFFA")</f>
        <v>TFFA</v>
      </c>
      <c r="S20" t="s">
        <v>14</v>
      </c>
      <c r="T20" s="1">
        <f>IF(T18&lt;T19,T18,T19)</f>
        <v>312251.59285714285</v>
      </c>
      <c r="U20" t="str">
        <f>IF(T20=T19,"MTDC","TFFA")</f>
        <v>TFFA</v>
      </c>
      <c r="V20" t="s">
        <v>14</v>
      </c>
      <c r="W20" s="1">
        <f>IF(W18&lt;W19,W18,W19)</f>
        <v>312246.90642857144</v>
      </c>
      <c r="X20" t="str">
        <f>IF(W20=W19,"MTDC","TFFA")</f>
        <v>TFFA</v>
      </c>
      <c r="Y20" t="s">
        <v>14</v>
      </c>
      <c r="Z20" s="1">
        <f>IF(Z18&lt;Z19,Z18,Z19)</f>
        <v>312245.50049999997</v>
      </c>
      <c r="AA20" t="str">
        <f>IF(Z20=Z19,"MTDC","TFFA")</f>
        <v>TFFA</v>
      </c>
      <c r="AB20" t="s">
        <v>14</v>
      </c>
      <c r="AC20" s="1">
        <f>IF(AC18&lt;AC19,AC18,AC19)</f>
        <v>312245.07872142852</v>
      </c>
      <c r="AD20" t="str">
        <f>IF(AC20=AC19,"MTDC","TFFA")</f>
        <v>TFFA</v>
      </c>
      <c r="AE20" t="s">
        <v>14</v>
      </c>
      <c r="AF20" s="1">
        <f>IF(AF18&lt;AF19,AF18,AF19)</f>
        <v>312244.95218785712</v>
      </c>
      <c r="AG20" t="str">
        <f>IF(AF20=AF19,"MTDC","TFFA")</f>
        <v>TFFA</v>
      </c>
      <c r="AH20" t="s">
        <v>14</v>
      </c>
      <c r="AI20" s="1">
        <f>IF(AI18&lt;AI19,AI18,AI19)</f>
        <v>312244.91422778572</v>
      </c>
      <c r="AJ20" t="str">
        <f>IF(AI20=AI19,"MTDC","TFFA")</f>
        <v>TFFA</v>
      </c>
      <c r="AK20" t="s">
        <v>14</v>
      </c>
      <c r="AL20" s="1">
        <f>IF(AL18&lt;AL19,AL18,AL19)</f>
        <v>312244.90283976425</v>
      </c>
      <c r="AM20" t="str">
        <f>IF(AL20=AL19,"MTDC","TFFA")</f>
        <v>TFFA</v>
      </c>
      <c r="AN20" t="s">
        <v>14</v>
      </c>
      <c r="AO20" s="1">
        <f>IF(AO18&lt;AO19,AO18,AO19)</f>
        <v>312244.89942335786</v>
      </c>
      <c r="AP20" t="str">
        <f>IF(AO20=AO19,"MTDC","TFFA")</f>
        <v>TFFA</v>
      </c>
      <c r="AQ20" t="s">
        <v>14</v>
      </c>
      <c r="AR20" s="1">
        <f>IF(AR18&lt;AR19,AR18,AR19)</f>
        <v>312244.89839843591</v>
      </c>
      <c r="AS20" t="str">
        <f>IF(AR20=AR19,"MTDC","TFFA")</f>
        <v>TFFA</v>
      </c>
      <c r="AT20" t="s">
        <v>14</v>
      </c>
      <c r="AU20" s="1">
        <f>IF(AU18&lt;AU19,AU18,AU19)</f>
        <v>312244.89809095935</v>
      </c>
      <c r="AV20" t="str">
        <f>IF(AU20=AU19,"MTDC","TFFA")</f>
        <v>TFFA</v>
      </c>
      <c r="AW20" t="s">
        <v>14</v>
      </c>
      <c r="AX20" s="1">
        <f>IF(AX18&lt;AX19,AX18,AX19)</f>
        <v>312244.89799871639</v>
      </c>
      <c r="AY20" t="str">
        <f>IF(AX20=AX19,"MTDC","TFFA")</f>
        <v>TFFA</v>
      </c>
      <c r="AZ20" t="s">
        <v>14</v>
      </c>
      <c r="BA20" s="1">
        <f>IF(BA18&lt;BA19,BA18,BA19)</f>
        <v>312244.89797104348</v>
      </c>
      <c r="BB20" t="str">
        <f>IF(BA20=BA19,"MTDC","TFFA")</f>
        <v>TFFA</v>
      </c>
      <c r="BC20" t="s">
        <v>14</v>
      </c>
      <c r="BD20" s="1">
        <f>IF(BD18&lt;BD19,BD18,BD19)</f>
        <v>312244.89796274161</v>
      </c>
      <c r="BE20" t="str">
        <f>IF(BD20=BD19,"MTDC","TFFA")</f>
        <v>TFFA</v>
      </c>
      <c r="BF20" t="s">
        <v>14</v>
      </c>
      <c r="BG20" s="1">
        <f>IF(BG18&lt;BG19,BG18,BG19)</f>
        <v>312244.89796025102</v>
      </c>
      <c r="BH20" t="str">
        <f>IF(BG20=BG19,"MTDC","TFFA")</f>
        <v>TFFA</v>
      </c>
    </row>
    <row r="21" spans="1:68" x14ac:dyDescent="0.25">
      <c r="A21" t="s">
        <v>48</v>
      </c>
      <c r="B21">
        <f>B20-B14</f>
        <v>300000.00000000017</v>
      </c>
      <c r="E21">
        <f>B20-E20</f>
        <v>6428.5714285715367</v>
      </c>
      <c r="H21">
        <f>E20-H20</f>
        <v>1928.5714285714785</v>
      </c>
      <c r="K21">
        <f>H20-K20</f>
        <v>578.57142857142026</v>
      </c>
      <c r="N21">
        <f>K20-N20</f>
        <v>173.57142857147846</v>
      </c>
      <c r="Q21">
        <f>N20-Q20</f>
        <v>52.071428571420256</v>
      </c>
      <c r="T21">
        <f>Q20-T20</f>
        <v>15.621428571408615</v>
      </c>
      <c r="W21">
        <f>T20-W20</f>
        <v>4.6864285714109428</v>
      </c>
      <c r="Z21">
        <f>W20-Z20</f>
        <v>1.4059285714756697</v>
      </c>
      <c r="AC21">
        <f>Z20-AC20</f>
        <v>0.42177857144270092</v>
      </c>
      <c r="AF21">
        <f>AC20-AF20</f>
        <v>0.12653357139788568</v>
      </c>
      <c r="AI21">
        <f>AF20-AI20</f>
        <v>3.7960071407724172E-2</v>
      </c>
      <c r="AL21">
        <f>AI20-AL20</f>
        <v>1.1388021463062614E-2</v>
      </c>
      <c r="AO21">
        <f>AL20-AO20</f>
        <v>3.4164063981734216E-3</v>
      </c>
      <c r="AR21">
        <f>AO20-AR20</f>
        <v>1.0249219485558569E-3</v>
      </c>
      <c r="AU21">
        <f>AR20-AU20</f>
        <v>3.0747655546292663E-4</v>
      </c>
      <c r="AX21" s="6">
        <f>AU20-AX20</f>
        <v>9.2242960818111897E-5</v>
      </c>
      <c r="BA21" s="6">
        <f>AX20-BA20</f>
        <v>2.7672911528497934E-5</v>
      </c>
      <c r="BD21" s="6">
        <f>BA20-BD20</f>
        <v>8.301867637783289E-6</v>
      </c>
      <c r="BG21" s="6">
        <f>BD20-BG20</f>
        <v>2.4905893951654434E-6</v>
      </c>
    </row>
    <row r="22" spans="1:68" s="9" customFormat="1" ht="15.75" thickBot="1" x14ac:dyDescent="0.3">
      <c r="B22" s="9">
        <f>B21+B4</f>
        <v>1050000.0000000002</v>
      </c>
    </row>
    <row r="24" spans="1:68" x14ac:dyDescent="0.25">
      <c r="B24" t="s">
        <v>17</v>
      </c>
      <c r="E24" t="s">
        <v>20</v>
      </c>
      <c r="H24" t="s">
        <v>21</v>
      </c>
      <c r="K24" t="s">
        <v>22</v>
      </c>
      <c r="N24" t="s">
        <v>23</v>
      </c>
      <c r="Q24" t="s">
        <v>24</v>
      </c>
      <c r="T24" t="s">
        <v>25</v>
      </c>
      <c r="W24" t="s">
        <v>26</v>
      </c>
      <c r="Z24" t="s">
        <v>27</v>
      </c>
      <c r="AC24" t="s">
        <v>28</v>
      </c>
      <c r="AF24" t="s">
        <v>29</v>
      </c>
      <c r="AI24" t="s">
        <v>30</v>
      </c>
      <c r="AL24" t="s">
        <v>31</v>
      </c>
      <c r="AO24" t="s">
        <v>32</v>
      </c>
      <c r="AR24" t="s">
        <v>33</v>
      </c>
      <c r="AU24" t="s">
        <v>34</v>
      </c>
      <c r="AX24" t="s">
        <v>35</v>
      </c>
      <c r="BA24" t="s">
        <v>36</v>
      </c>
      <c r="BD24" t="s">
        <v>37</v>
      </c>
      <c r="BG24" t="s">
        <v>45</v>
      </c>
    </row>
    <row r="25" spans="1:68" x14ac:dyDescent="0.25">
      <c r="A25" t="s">
        <v>0</v>
      </c>
      <c r="B25">
        <f>B31-B30</f>
        <v>771428.57142857136</v>
      </c>
      <c r="D25" t="s">
        <v>0</v>
      </c>
      <c r="E25">
        <f>E31-E30</f>
        <v>756428.57142857159</v>
      </c>
      <c r="G25" t="s">
        <v>0</v>
      </c>
      <c r="H25">
        <f>H31-H30</f>
        <v>751928.57142857148</v>
      </c>
      <c r="J25" t="s">
        <v>0</v>
      </c>
      <c r="K25">
        <f>K31-K30</f>
        <v>750578.57142857136</v>
      </c>
      <c r="M25" t="s">
        <v>0</v>
      </c>
      <c r="N25">
        <f>N31-N30</f>
        <v>750173.57142857136</v>
      </c>
      <c r="P25" t="s">
        <v>0</v>
      </c>
      <c r="Q25">
        <f>Q31-Q30</f>
        <v>750052.07142857148</v>
      </c>
      <c r="S25" t="s">
        <v>0</v>
      </c>
      <c r="T25">
        <f>T31-T30</f>
        <v>750015.62142857141</v>
      </c>
      <c r="V25" t="s">
        <v>0</v>
      </c>
      <c r="W25">
        <f>W31-W30</f>
        <v>750004.68642857135</v>
      </c>
      <c r="Y25" t="s">
        <v>0</v>
      </c>
      <c r="Z25">
        <f>Z31-Z30</f>
        <v>750001.40592857148</v>
      </c>
      <c r="AB25" t="s">
        <v>0</v>
      </c>
      <c r="AC25">
        <f>AC31-AC30</f>
        <v>750000.42177857133</v>
      </c>
      <c r="AE25" t="s">
        <v>0</v>
      </c>
      <c r="AF25">
        <f>AF31-AF30</f>
        <v>750000.1265335714</v>
      </c>
      <c r="AH25" t="s">
        <v>0</v>
      </c>
      <c r="AI25">
        <f>AI31-AI30</f>
        <v>750000.03796007147</v>
      </c>
      <c r="AK25" t="s">
        <v>0</v>
      </c>
      <c r="AL25">
        <f>AL31-AL30</f>
        <v>750000.01138802152</v>
      </c>
      <c r="AN25" t="s">
        <v>0</v>
      </c>
      <c r="AO25">
        <f>AO31-AO30</f>
        <v>750000.00341640646</v>
      </c>
      <c r="AQ25" t="s">
        <v>0</v>
      </c>
      <c r="AR25">
        <f>AR31-AR30</f>
        <v>750000.00102492189</v>
      </c>
      <c r="AT25" t="s">
        <v>0</v>
      </c>
      <c r="AU25">
        <f>AU31-AU30</f>
        <v>750000.00030747661</v>
      </c>
      <c r="AW25" t="s">
        <v>0</v>
      </c>
      <c r="AX25">
        <f>AX31-AX30</f>
        <v>750000.00009224296</v>
      </c>
      <c r="AZ25" t="s">
        <v>0</v>
      </c>
      <c r="BA25">
        <f>BA31-BA30</f>
        <v>750000.00002767285</v>
      </c>
      <c r="BC25" t="s">
        <v>0</v>
      </c>
      <c r="BD25">
        <f>BD31-BD30</f>
        <v>750000.00000830181</v>
      </c>
      <c r="BF25" t="s">
        <v>0</v>
      </c>
      <c r="BG25">
        <f>BG31-BG30</f>
        <v>750000.00000249059</v>
      </c>
    </row>
    <row r="26" spans="1:68" x14ac:dyDescent="0.25">
      <c r="A26" t="s">
        <v>12</v>
      </c>
      <c r="B26">
        <f>B5</f>
        <v>25000</v>
      </c>
      <c r="D26" t="s">
        <v>12</v>
      </c>
      <c r="E26">
        <f>E5</f>
        <v>25000</v>
      </c>
      <c r="G26" t="s">
        <v>12</v>
      </c>
      <c r="H26">
        <f>H5</f>
        <v>25000</v>
      </c>
      <c r="J26" t="s">
        <v>12</v>
      </c>
      <c r="K26">
        <f>K5</f>
        <v>25000</v>
      </c>
      <c r="M26" t="s">
        <v>12</v>
      </c>
      <c r="N26">
        <f>N5</f>
        <v>25000</v>
      </c>
      <c r="P26" t="s">
        <v>12</v>
      </c>
      <c r="Q26">
        <f>Q5</f>
        <v>25000</v>
      </c>
      <c r="S26" t="s">
        <v>12</v>
      </c>
      <c r="T26">
        <f>T5</f>
        <v>25000</v>
      </c>
      <c r="V26" t="s">
        <v>12</v>
      </c>
      <c r="W26">
        <f>W5</f>
        <v>25000</v>
      </c>
      <c r="Y26" t="s">
        <v>12</v>
      </c>
      <c r="Z26">
        <f>Z5</f>
        <v>25000</v>
      </c>
      <c r="AB26" t="s">
        <v>12</v>
      </c>
      <c r="AC26">
        <f>AC5</f>
        <v>25000</v>
      </c>
      <c r="AE26" t="s">
        <v>12</v>
      </c>
      <c r="AF26">
        <f>AF5</f>
        <v>25000</v>
      </c>
      <c r="AH26" t="s">
        <v>12</v>
      </c>
      <c r="AI26">
        <f>AI5</f>
        <v>25000</v>
      </c>
      <c r="AK26" t="s">
        <v>12</v>
      </c>
      <c r="AL26">
        <f>AL5</f>
        <v>25000</v>
      </c>
      <c r="AN26" t="s">
        <v>12</v>
      </c>
      <c r="AO26">
        <f>AO5</f>
        <v>25000</v>
      </c>
      <c r="AQ26" t="s">
        <v>12</v>
      </c>
      <c r="AR26">
        <f>AR5</f>
        <v>25000</v>
      </c>
      <c r="AT26" t="s">
        <v>12</v>
      </c>
      <c r="AU26">
        <f>AU5</f>
        <v>25000</v>
      </c>
      <c r="AW26" t="s">
        <v>12</v>
      </c>
      <c r="AX26">
        <f>AX5</f>
        <v>25000</v>
      </c>
      <c r="AZ26" t="s">
        <v>12</v>
      </c>
      <c r="BA26">
        <f>BA5</f>
        <v>25000</v>
      </c>
      <c r="BC26" t="s">
        <v>12</v>
      </c>
      <c r="BD26">
        <f>BD5</f>
        <v>25000</v>
      </c>
      <c r="BF26" t="s">
        <v>12</v>
      </c>
      <c r="BG26">
        <f>BG5</f>
        <v>25000</v>
      </c>
    </row>
    <row r="27" spans="1:68" x14ac:dyDescent="0.25">
      <c r="A27" t="s">
        <v>11</v>
      </c>
      <c r="B27">
        <f>B6</f>
        <v>0</v>
      </c>
      <c r="D27" t="s">
        <v>11</v>
      </c>
      <c r="E27">
        <f>E6</f>
        <v>0</v>
      </c>
      <c r="G27" t="s">
        <v>11</v>
      </c>
      <c r="H27">
        <f>H6</f>
        <v>0</v>
      </c>
      <c r="J27" t="s">
        <v>11</v>
      </c>
      <c r="K27">
        <f>K6</f>
        <v>0</v>
      </c>
      <c r="M27" t="s">
        <v>11</v>
      </c>
      <c r="N27">
        <f>N6</f>
        <v>0</v>
      </c>
      <c r="P27" t="s">
        <v>11</v>
      </c>
      <c r="Q27">
        <f>Q6</f>
        <v>0</v>
      </c>
      <c r="S27" t="s">
        <v>11</v>
      </c>
      <c r="T27">
        <f>T6</f>
        <v>0</v>
      </c>
      <c r="V27" t="s">
        <v>11</v>
      </c>
      <c r="W27">
        <f>W6</f>
        <v>0</v>
      </c>
      <c r="Y27" t="s">
        <v>11</v>
      </c>
      <c r="Z27">
        <f>Z6</f>
        <v>0</v>
      </c>
      <c r="AB27" t="s">
        <v>11</v>
      </c>
      <c r="AC27">
        <f>AC6</f>
        <v>0</v>
      </c>
      <c r="AE27" t="s">
        <v>11</v>
      </c>
      <c r="AF27">
        <f>AF6</f>
        <v>0</v>
      </c>
      <c r="AH27" t="s">
        <v>11</v>
      </c>
      <c r="AI27">
        <f>AI6</f>
        <v>0</v>
      </c>
      <c r="AK27" t="s">
        <v>11</v>
      </c>
      <c r="AL27">
        <f>AL6</f>
        <v>0</v>
      </c>
      <c r="AN27" t="s">
        <v>11</v>
      </c>
      <c r="AO27">
        <f>AO6</f>
        <v>0</v>
      </c>
      <c r="AQ27" t="s">
        <v>11</v>
      </c>
      <c r="AR27">
        <f>AR6</f>
        <v>0</v>
      </c>
      <c r="AT27" t="s">
        <v>11</v>
      </c>
      <c r="AU27">
        <f>AU6</f>
        <v>0</v>
      </c>
      <c r="AW27" t="s">
        <v>11</v>
      </c>
      <c r="AX27">
        <f>AX6</f>
        <v>0</v>
      </c>
      <c r="AZ27" t="s">
        <v>11</v>
      </c>
      <c r="BA27">
        <f>BA6</f>
        <v>0</v>
      </c>
      <c r="BC27" t="s">
        <v>11</v>
      </c>
      <c r="BD27">
        <f>BD6</f>
        <v>0</v>
      </c>
      <c r="BF27" t="s">
        <v>11</v>
      </c>
      <c r="BG27">
        <f>BG6</f>
        <v>0</v>
      </c>
    </row>
    <row r="28" spans="1:68" x14ac:dyDescent="0.25">
      <c r="A28" t="s">
        <v>13</v>
      </c>
      <c r="B28">
        <f>B25-B26-B27</f>
        <v>746428.57142857136</v>
      </c>
      <c r="D28" t="s">
        <v>13</v>
      </c>
      <c r="E28">
        <f>E25-E26-E27</f>
        <v>731428.57142857159</v>
      </c>
      <c r="G28" t="s">
        <v>13</v>
      </c>
      <c r="H28">
        <f>H25-H26-H27</f>
        <v>726928.57142857148</v>
      </c>
      <c r="J28" t="s">
        <v>13</v>
      </c>
      <c r="K28">
        <f>K25-K26-K27</f>
        <v>725578.57142857136</v>
      </c>
      <c r="M28" t="s">
        <v>13</v>
      </c>
      <c r="N28">
        <f>N25-N26-N27</f>
        <v>725173.57142857136</v>
      </c>
      <c r="P28" t="s">
        <v>13</v>
      </c>
      <c r="Q28">
        <f>Q25-Q26-Q27</f>
        <v>725052.07142857148</v>
      </c>
      <c r="S28" t="s">
        <v>13</v>
      </c>
      <c r="T28">
        <f>T25-T26-T27</f>
        <v>725015.62142857141</v>
      </c>
      <c r="V28" t="s">
        <v>13</v>
      </c>
      <c r="W28">
        <f>W25-W26-W27</f>
        <v>725004.68642857135</v>
      </c>
      <c r="Y28" t="s">
        <v>13</v>
      </c>
      <c r="Z28">
        <f>Z25-Z26-Z27</f>
        <v>725001.40592857148</v>
      </c>
      <c r="AB28" t="s">
        <v>13</v>
      </c>
      <c r="AC28">
        <f>AC25-AC26-AC27</f>
        <v>725000.42177857133</v>
      </c>
      <c r="AE28" t="s">
        <v>13</v>
      </c>
      <c r="AF28">
        <f>AF25-AF26-AF27</f>
        <v>725000.1265335714</v>
      </c>
      <c r="AH28" t="s">
        <v>13</v>
      </c>
      <c r="AI28">
        <f>AI25-AI26-AI27</f>
        <v>725000.03796007147</v>
      </c>
      <c r="AK28" t="s">
        <v>13</v>
      </c>
      <c r="AL28">
        <f>AL25-AL26-AL27</f>
        <v>725000.01138802152</v>
      </c>
      <c r="AN28" t="s">
        <v>13</v>
      </c>
      <c r="AO28">
        <f>AO25-AO26-AO27</f>
        <v>725000.00341640646</v>
      </c>
      <c r="AQ28" t="s">
        <v>13</v>
      </c>
      <c r="AR28">
        <f>AR25-AR26-AR27</f>
        <v>725000.00102492189</v>
      </c>
      <c r="AT28" t="s">
        <v>13</v>
      </c>
      <c r="AU28">
        <f>AU25-AU26-AU27</f>
        <v>725000.00030747661</v>
      </c>
      <c r="AW28" t="s">
        <v>13</v>
      </c>
      <c r="AX28">
        <f>AX25-AX26-AX27</f>
        <v>725000.00009224296</v>
      </c>
      <c r="AZ28" t="s">
        <v>13</v>
      </c>
      <c r="BA28">
        <f>BA25-BA26-BA27</f>
        <v>725000.00002767285</v>
      </c>
      <c r="BC28" t="s">
        <v>13</v>
      </c>
      <c r="BD28">
        <f>BD25-BD26-BD27</f>
        <v>725000.00000830181</v>
      </c>
      <c r="BF28" t="s">
        <v>13</v>
      </c>
      <c r="BG28">
        <f>BG25-BG26-BG27</f>
        <v>725000.00000249059</v>
      </c>
    </row>
    <row r="29" spans="1:68" x14ac:dyDescent="0.25">
      <c r="A29" t="s">
        <v>18</v>
      </c>
      <c r="B29">
        <f>B20</f>
        <v>321428.57142857159</v>
      </c>
      <c r="C29" s="7">
        <f>B29/B31</f>
        <v>0.3000000000000001</v>
      </c>
      <c r="D29" t="s">
        <v>18</v>
      </c>
      <c r="E29">
        <f>E20</f>
        <v>315000.00000000006</v>
      </c>
      <c r="F29" s="7">
        <f>E29/E31</f>
        <v>0.3</v>
      </c>
      <c r="G29" t="s">
        <v>18</v>
      </c>
      <c r="H29">
        <f>H20</f>
        <v>313071.42857142858</v>
      </c>
      <c r="I29" s="7">
        <f>H29/H31</f>
        <v>0.3</v>
      </c>
      <c r="J29" t="s">
        <v>18</v>
      </c>
      <c r="K29">
        <f>K20</f>
        <v>312492.85714285716</v>
      </c>
      <c r="L29" s="7">
        <f>K29/K31</f>
        <v>0.3</v>
      </c>
      <c r="M29" t="s">
        <v>18</v>
      </c>
      <c r="N29">
        <f>N20</f>
        <v>312319.28571428568</v>
      </c>
      <c r="O29" s="7">
        <f>N29/N31</f>
        <v>0.3</v>
      </c>
      <c r="P29" t="s">
        <v>18</v>
      </c>
      <c r="Q29">
        <f>Q20</f>
        <v>312267.21428571426</v>
      </c>
      <c r="R29" s="7">
        <f>Q29/Q31</f>
        <v>0.3</v>
      </c>
      <c r="S29" t="s">
        <v>18</v>
      </c>
      <c r="T29">
        <f>T20</f>
        <v>312251.59285714285</v>
      </c>
      <c r="U29" s="7">
        <f>T29/T31</f>
        <v>0.3</v>
      </c>
      <c r="V29" t="s">
        <v>18</v>
      </c>
      <c r="W29">
        <f>W20</f>
        <v>312246.90642857144</v>
      </c>
      <c r="X29" s="7">
        <f>W29/W31</f>
        <v>0.3</v>
      </c>
      <c r="Y29" t="s">
        <v>18</v>
      </c>
      <c r="Z29">
        <f>Z20</f>
        <v>312245.50049999997</v>
      </c>
      <c r="AA29" s="7">
        <f>Z29/Z31</f>
        <v>0.3</v>
      </c>
      <c r="AB29" t="s">
        <v>18</v>
      </c>
      <c r="AC29">
        <f>AC20</f>
        <v>312245.07872142852</v>
      </c>
      <c r="AD29" s="7">
        <f>AC29/AC31</f>
        <v>0.3</v>
      </c>
      <c r="AE29" t="s">
        <v>18</v>
      </c>
      <c r="AF29">
        <f>AF20</f>
        <v>312244.95218785712</v>
      </c>
      <c r="AG29" s="7">
        <f>AF29/AF31</f>
        <v>0.3</v>
      </c>
      <c r="AH29" t="s">
        <v>18</v>
      </c>
      <c r="AI29">
        <f>AI20</f>
        <v>312244.91422778572</v>
      </c>
      <c r="AJ29" s="7">
        <f>AI29/AI31</f>
        <v>0.3</v>
      </c>
      <c r="AK29" t="s">
        <v>18</v>
      </c>
      <c r="AL29">
        <f>AL20</f>
        <v>312244.90283976425</v>
      </c>
      <c r="AM29" s="7">
        <f>AL29/AL31</f>
        <v>0.3</v>
      </c>
      <c r="AN29" t="s">
        <v>18</v>
      </c>
      <c r="AO29">
        <f>AO20</f>
        <v>312244.89942335786</v>
      </c>
      <c r="AP29" s="7">
        <f>AO29/AO31</f>
        <v>0.3</v>
      </c>
      <c r="AQ29" t="s">
        <v>18</v>
      </c>
      <c r="AR29">
        <f>AR20</f>
        <v>312244.89839843591</v>
      </c>
      <c r="AS29" s="7">
        <f>AR29/AR31</f>
        <v>0.3</v>
      </c>
      <c r="AT29" t="s">
        <v>18</v>
      </c>
      <c r="AU29">
        <f>AU20</f>
        <v>312244.89809095935</v>
      </c>
      <c r="AV29" s="7">
        <f>AU29/AU31</f>
        <v>0.3</v>
      </c>
      <c r="AW29" t="s">
        <v>18</v>
      </c>
      <c r="AX29">
        <f>AX20</f>
        <v>312244.89799871639</v>
      </c>
      <c r="AY29" s="7">
        <f>AX29/AX31</f>
        <v>0.3</v>
      </c>
      <c r="AZ29" t="s">
        <v>18</v>
      </c>
      <c r="BA29">
        <f>BA20</f>
        <v>312244.89797104348</v>
      </c>
      <c r="BB29" s="7">
        <f>BA29/BA31</f>
        <v>0.3</v>
      </c>
      <c r="BC29" t="s">
        <v>18</v>
      </c>
      <c r="BD29">
        <f>BD20</f>
        <v>312244.89796274161</v>
      </c>
      <c r="BE29" s="7">
        <f>BD29/BD31</f>
        <v>0.3</v>
      </c>
      <c r="BF29" t="s">
        <v>18</v>
      </c>
      <c r="BG29">
        <f>BG20</f>
        <v>312244.89796025102</v>
      </c>
      <c r="BH29" s="7">
        <f>BG29/BG31</f>
        <v>0.3</v>
      </c>
    </row>
    <row r="30" spans="1:68" x14ac:dyDescent="0.25">
      <c r="A30" t="s">
        <v>19</v>
      </c>
      <c r="B30">
        <f>B29-B14</f>
        <v>300000.00000000017</v>
      </c>
      <c r="D30" t="s">
        <v>19</v>
      </c>
      <c r="E30">
        <f>E29-E14</f>
        <v>293571.42857142864</v>
      </c>
      <c r="G30" t="s">
        <v>19</v>
      </c>
      <c r="H30">
        <f>H29-H14</f>
        <v>291642.85714285716</v>
      </c>
      <c r="J30" t="s">
        <v>19</v>
      </c>
      <c r="K30">
        <f>K29-K14</f>
        <v>291064.28571428574</v>
      </c>
      <c r="M30" t="s">
        <v>19</v>
      </c>
      <c r="N30">
        <f>N29-N14</f>
        <v>290890.71428571426</v>
      </c>
      <c r="P30" t="s">
        <v>19</v>
      </c>
      <c r="Q30">
        <f>Q29-Q14</f>
        <v>290838.64285714284</v>
      </c>
      <c r="S30" t="s">
        <v>19</v>
      </c>
      <c r="T30">
        <f>T29-T14</f>
        <v>290823.02142857143</v>
      </c>
      <c r="V30" t="s">
        <v>19</v>
      </c>
      <c r="W30">
        <f>W29-W14</f>
        <v>290818.33500000002</v>
      </c>
      <c r="Y30" t="s">
        <v>19</v>
      </c>
      <c r="Z30">
        <f>Z29-Z14</f>
        <v>290816.92907142855</v>
      </c>
      <c r="AB30" t="s">
        <v>19</v>
      </c>
      <c r="AC30">
        <f>AC29-AC14</f>
        <v>290816.5072928571</v>
      </c>
      <c r="AE30" t="s">
        <v>19</v>
      </c>
      <c r="AF30">
        <f>AF29-AF14</f>
        <v>290816.3807592857</v>
      </c>
      <c r="AH30" t="s">
        <v>19</v>
      </c>
      <c r="AI30">
        <f>AI29-AI14</f>
        <v>290816.3427992143</v>
      </c>
      <c r="AK30" t="s">
        <v>19</v>
      </c>
      <c r="AL30">
        <f>AL29-AL14</f>
        <v>290816.33141119283</v>
      </c>
      <c r="AN30" t="s">
        <v>19</v>
      </c>
      <c r="AO30">
        <f>AO29-AO14</f>
        <v>290816.32799478644</v>
      </c>
      <c r="AQ30" t="s">
        <v>19</v>
      </c>
      <c r="AR30">
        <f>AR29-AR14</f>
        <v>290816.32696986449</v>
      </c>
      <c r="AT30" t="s">
        <v>19</v>
      </c>
      <c r="AU30">
        <f>AU29-AU14</f>
        <v>290816.32666238793</v>
      </c>
      <c r="AW30" t="s">
        <v>19</v>
      </c>
      <c r="AX30">
        <f>AX29-AX14</f>
        <v>290816.32657014497</v>
      </c>
      <c r="AZ30" t="s">
        <v>19</v>
      </c>
      <c r="BA30">
        <f>BA29-BA14</f>
        <v>290816.32654247206</v>
      </c>
      <c r="BC30" t="s">
        <v>19</v>
      </c>
      <c r="BD30">
        <f>BD29-BD14</f>
        <v>290816.32653417019</v>
      </c>
      <c r="BF30" t="s">
        <v>19</v>
      </c>
      <c r="BG30">
        <f>BG29-BG14</f>
        <v>290816.3265316796</v>
      </c>
      <c r="BI30" s="10" t="s">
        <v>46</v>
      </c>
      <c r="BJ30" s="11">
        <f>BG30/BG28</f>
        <v>0.40112596762852493</v>
      </c>
    </row>
    <row r="31" spans="1:68" x14ac:dyDescent="0.25">
      <c r="A31" t="s">
        <v>2</v>
      </c>
      <c r="B31" s="3">
        <f>B9</f>
        <v>1071428.5714285716</v>
      </c>
      <c r="D31" t="s">
        <v>2</v>
      </c>
      <c r="E31" s="3">
        <f>E10</f>
        <v>1050000.0000000002</v>
      </c>
      <c r="G31" t="s">
        <v>2</v>
      </c>
      <c r="H31" s="3">
        <f>H10</f>
        <v>1043571.4285714286</v>
      </c>
      <c r="J31" t="s">
        <v>2</v>
      </c>
      <c r="K31" s="3">
        <f>K10</f>
        <v>1041642.8571428572</v>
      </c>
      <c r="M31" t="s">
        <v>2</v>
      </c>
      <c r="N31" s="3">
        <f>N10</f>
        <v>1041064.2857142857</v>
      </c>
      <c r="P31" t="s">
        <v>2</v>
      </c>
      <c r="Q31" s="3">
        <f>Q10</f>
        <v>1040890.7142857143</v>
      </c>
      <c r="S31" t="s">
        <v>2</v>
      </c>
      <c r="T31" s="3">
        <f>T10</f>
        <v>1040838.6428571428</v>
      </c>
      <c r="V31" t="s">
        <v>2</v>
      </c>
      <c r="W31" s="3">
        <f>W10</f>
        <v>1040823.0214285714</v>
      </c>
      <c r="Y31" t="s">
        <v>2</v>
      </c>
      <c r="Z31" s="3">
        <f>Z10</f>
        <v>1040818.335</v>
      </c>
      <c r="AB31" t="s">
        <v>2</v>
      </c>
      <c r="AC31" s="3">
        <f>AC10</f>
        <v>1040816.9290714285</v>
      </c>
      <c r="AE31" t="s">
        <v>2</v>
      </c>
      <c r="AF31" s="3">
        <f>AF10</f>
        <v>1040816.5072928572</v>
      </c>
      <c r="AH31" t="s">
        <v>2</v>
      </c>
      <c r="AI31" s="3">
        <f>AI10</f>
        <v>1040816.3807592858</v>
      </c>
      <c r="AK31" t="s">
        <v>2</v>
      </c>
      <c r="AL31" s="3">
        <f>AL10</f>
        <v>1040816.3427992143</v>
      </c>
      <c r="AN31" t="s">
        <v>2</v>
      </c>
      <c r="AO31" s="3">
        <f>AO10</f>
        <v>1040816.3314111929</v>
      </c>
      <c r="AQ31" t="s">
        <v>2</v>
      </c>
      <c r="AR31" s="3">
        <f>AR10</f>
        <v>1040816.3279947864</v>
      </c>
      <c r="AT31" t="s">
        <v>2</v>
      </c>
      <c r="AU31" s="3">
        <f>AU10</f>
        <v>1040816.3269698645</v>
      </c>
      <c r="AW31" t="s">
        <v>2</v>
      </c>
      <c r="AX31" s="3">
        <f>AX10</f>
        <v>1040816.3266623879</v>
      </c>
      <c r="AZ31" t="s">
        <v>2</v>
      </c>
      <c r="BA31" s="3">
        <f>BA10</f>
        <v>1040816.326570145</v>
      </c>
      <c r="BC31" t="s">
        <v>2</v>
      </c>
      <c r="BD31" s="3">
        <f>BD10</f>
        <v>1040816.326542472</v>
      </c>
      <c r="BF31" t="s">
        <v>2</v>
      </c>
      <c r="BG31" s="3">
        <f>BG10</f>
        <v>1040816.3265341702</v>
      </c>
      <c r="BI31" s="10" t="s">
        <v>47</v>
      </c>
      <c r="BJ31" s="11">
        <f>BG29/BG25</f>
        <v>0.41632653061228547</v>
      </c>
    </row>
    <row r="34" spans="1:60" x14ac:dyDescent="0.25">
      <c r="A34" t="s">
        <v>4</v>
      </c>
      <c r="B34">
        <f>B13</f>
        <v>50000</v>
      </c>
      <c r="D34" t="s">
        <v>4</v>
      </c>
      <c r="E34">
        <f>E13</f>
        <v>50000</v>
      </c>
      <c r="G34" t="s">
        <v>4</v>
      </c>
      <c r="H34">
        <f>H13</f>
        <v>50000</v>
      </c>
      <c r="J34" t="s">
        <v>4</v>
      </c>
      <c r="K34">
        <f>K13</f>
        <v>50000</v>
      </c>
      <c r="M34" t="s">
        <v>4</v>
      </c>
      <c r="N34">
        <f>N13</f>
        <v>50000</v>
      </c>
      <c r="P34" t="s">
        <v>4</v>
      </c>
      <c r="Q34">
        <f>Q13</f>
        <v>50000</v>
      </c>
      <c r="S34" t="s">
        <v>4</v>
      </c>
      <c r="T34">
        <f>T13</f>
        <v>50000</v>
      </c>
      <c r="V34" t="s">
        <v>4</v>
      </c>
      <c r="W34">
        <f>W13</f>
        <v>50000</v>
      </c>
      <c r="Y34" t="s">
        <v>4</v>
      </c>
      <c r="Z34">
        <f>Z13</f>
        <v>50000</v>
      </c>
      <c r="AB34" t="s">
        <v>4</v>
      </c>
      <c r="AC34">
        <f>AC13</f>
        <v>50000</v>
      </c>
      <c r="AE34" t="s">
        <v>4</v>
      </c>
      <c r="AF34">
        <f>AF13</f>
        <v>50000</v>
      </c>
      <c r="AH34" t="s">
        <v>4</v>
      </c>
      <c r="AI34">
        <f>AI13</f>
        <v>50000</v>
      </c>
      <c r="AK34" t="s">
        <v>4</v>
      </c>
      <c r="AL34">
        <f>AL13</f>
        <v>50000</v>
      </c>
      <c r="AN34" t="s">
        <v>4</v>
      </c>
      <c r="AO34">
        <f>AO13</f>
        <v>50000</v>
      </c>
      <c r="AQ34" t="s">
        <v>4</v>
      </c>
      <c r="AR34">
        <f>AR13</f>
        <v>50000</v>
      </c>
      <c r="AT34" t="s">
        <v>4</v>
      </c>
      <c r="AU34">
        <f>AU13</f>
        <v>50000</v>
      </c>
      <c r="AW34" t="s">
        <v>4</v>
      </c>
      <c r="AX34">
        <f>AX13</f>
        <v>50000</v>
      </c>
      <c r="AZ34" t="s">
        <v>4</v>
      </c>
      <c r="BA34">
        <f>BA13</f>
        <v>50000</v>
      </c>
      <c r="BC34" t="s">
        <v>4</v>
      </c>
      <c r="BD34">
        <f>BD13</f>
        <v>50000</v>
      </c>
      <c r="BF34" t="s">
        <v>4</v>
      </c>
      <c r="BG34">
        <f>BG13</f>
        <v>50000</v>
      </c>
    </row>
    <row r="35" spans="1:60" x14ac:dyDescent="0.25">
      <c r="A35" t="s">
        <v>5</v>
      </c>
      <c r="B35">
        <f>B14</f>
        <v>21428.571428571435</v>
      </c>
      <c r="D35" t="s">
        <v>5</v>
      </c>
      <c r="E35">
        <f>E14</f>
        <v>21428.571428571435</v>
      </c>
      <c r="G35" t="s">
        <v>5</v>
      </c>
      <c r="H35">
        <f>H14</f>
        <v>21428.571428571435</v>
      </c>
      <c r="J35" t="s">
        <v>5</v>
      </c>
      <c r="K35">
        <f>K14</f>
        <v>21428.571428571435</v>
      </c>
      <c r="M35" t="s">
        <v>5</v>
      </c>
      <c r="N35">
        <f>N14</f>
        <v>21428.571428571435</v>
      </c>
      <c r="P35" t="s">
        <v>5</v>
      </c>
      <c r="Q35">
        <f>Q14</f>
        <v>21428.571428571435</v>
      </c>
      <c r="S35" t="s">
        <v>5</v>
      </c>
      <c r="T35">
        <f>T14</f>
        <v>21428.571428571435</v>
      </c>
      <c r="V35" t="s">
        <v>5</v>
      </c>
      <c r="W35">
        <f>W14</f>
        <v>21428.571428571435</v>
      </c>
      <c r="Y35" t="s">
        <v>5</v>
      </c>
      <c r="Z35">
        <f>Z14</f>
        <v>21428.571428571435</v>
      </c>
      <c r="AB35" t="s">
        <v>5</v>
      </c>
      <c r="AC35">
        <f>AC14</f>
        <v>21428.571428571435</v>
      </c>
      <c r="AE35" t="s">
        <v>5</v>
      </c>
      <c r="AF35">
        <f>AF14</f>
        <v>21428.571428571435</v>
      </c>
      <c r="AH35" t="s">
        <v>5</v>
      </c>
      <c r="AI35">
        <f>AI14</f>
        <v>21428.571428571435</v>
      </c>
      <c r="AK35" t="s">
        <v>5</v>
      </c>
      <c r="AL35">
        <f>AL14</f>
        <v>21428.571428571435</v>
      </c>
      <c r="AN35" t="s">
        <v>5</v>
      </c>
      <c r="AO35">
        <f>AO14</f>
        <v>21428.571428571435</v>
      </c>
      <c r="AQ35" t="s">
        <v>5</v>
      </c>
      <c r="AR35">
        <f>AR14</f>
        <v>21428.571428571435</v>
      </c>
      <c r="AT35" t="s">
        <v>5</v>
      </c>
      <c r="AU35">
        <f>AU14</f>
        <v>21428.571428571435</v>
      </c>
      <c r="AW35" t="s">
        <v>5</v>
      </c>
      <c r="AX35">
        <f>AX14</f>
        <v>21428.571428571435</v>
      </c>
      <c r="AZ35" t="s">
        <v>5</v>
      </c>
      <c r="BA35">
        <f>BA14</f>
        <v>21428.571428571435</v>
      </c>
      <c r="BC35" t="s">
        <v>5</v>
      </c>
      <c r="BD35">
        <f>BD14</f>
        <v>21428.571428571435</v>
      </c>
      <c r="BF35" t="s">
        <v>5</v>
      </c>
      <c r="BG35">
        <f>BG14</f>
        <v>21428.571428571435</v>
      </c>
    </row>
    <row r="36" spans="1:60" x14ac:dyDescent="0.25">
      <c r="A36" t="s">
        <v>10</v>
      </c>
      <c r="B36">
        <f>B15</f>
        <v>71428.571428571435</v>
      </c>
      <c r="D36" t="s">
        <v>10</v>
      </c>
      <c r="E36">
        <f>E15</f>
        <v>71428.571428571435</v>
      </c>
      <c r="G36" t="s">
        <v>10</v>
      </c>
      <c r="H36">
        <f>H15</f>
        <v>71428.571428571435</v>
      </c>
      <c r="J36" t="s">
        <v>10</v>
      </c>
      <c r="K36">
        <f>K15</f>
        <v>71428.571428571435</v>
      </c>
      <c r="M36" t="s">
        <v>10</v>
      </c>
      <c r="N36">
        <f>N15</f>
        <v>71428.571428571435</v>
      </c>
      <c r="P36" t="s">
        <v>10</v>
      </c>
      <c r="Q36">
        <f>Q15</f>
        <v>71428.571428571435</v>
      </c>
      <c r="S36" t="s">
        <v>10</v>
      </c>
      <c r="T36">
        <f>T15</f>
        <v>71428.571428571435</v>
      </c>
      <c r="V36" t="s">
        <v>10</v>
      </c>
      <c r="W36">
        <f>W15</f>
        <v>71428.571428571435</v>
      </c>
      <c r="Y36" t="s">
        <v>10</v>
      </c>
      <c r="Z36">
        <f>Z15</f>
        <v>71428.571428571435</v>
      </c>
      <c r="AB36" t="s">
        <v>10</v>
      </c>
      <c r="AC36">
        <f>AC15</f>
        <v>71428.571428571435</v>
      </c>
      <c r="AE36" t="s">
        <v>10</v>
      </c>
      <c r="AF36">
        <f>AF15</f>
        <v>71428.571428571435</v>
      </c>
      <c r="AH36" t="s">
        <v>10</v>
      </c>
      <c r="AI36">
        <f>AI15</f>
        <v>71428.571428571435</v>
      </c>
      <c r="AK36" t="s">
        <v>10</v>
      </c>
      <c r="AL36">
        <f>AL15</f>
        <v>71428.571428571435</v>
      </c>
      <c r="AN36" t="s">
        <v>10</v>
      </c>
      <c r="AO36">
        <f>AO15</f>
        <v>71428.571428571435</v>
      </c>
      <c r="AQ36" t="s">
        <v>10</v>
      </c>
      <c r="AR36">
        <f>AR15</f>
        <v>71428.571428571435</v>
      </c>
      <c r="AT36" t="s">
        <v>10</v>
      </c>
      <c r="AU36">
        <f>AU15</f>
        <v>71428.571428571435</v>
      </c>
      <c r="AW36" t="s">
        <v>10</v>
      </c>
      <c r="AX36">
        <f>AX15</f>
        <v>71428.571428571435</v>
      </c>
      <c r="AZ36" t="s">
        <v>10</v>
      </c>
      <c r="BA36">
        <f>BA15</f>
        <v>71428.571428571435</v>
      </c>
      <c r="BC36" t="s">
        <v>10</v>
      </c>
      <c r="BD36">
        <f>BD15</f>
        <v>71428.571428571435</v>
      </c>
      <c r="BF36" t="s">
        <v>10</v>
      </c>
      <c r="BG36">
        <f>BG15</f>
        <v>71428.571428571435</v>
      </c>
    </row>
    <row r="38" spans="1:60" x14ac:dyDescent="0.25">
      <c r="A38" t="s">
        <v>6</v>
      </c>
      <c r="D38" t="s">
        <v>6</v>
      </c>
      <c r="G38" t="s">
        <v>6</v>
      </c>
      <c r="J38" t="s">
        <v>6</v>
      </c>
      <c r="M38" t="s">
        <v>6</v>
      </c>
      <c r="P38" t="s">
        <v>6</v>
      </c>
      <c r="S38" t="s">
        <v>6</v>
      </c>
      <c r="V38" t="s">
        <v>6</v>
      </c>
      <c r="Y38" t="s">
        <v>6</v>
      </c>
      <c r="AB38" t="s">
        <v>6</v>
      </c>
      <c r="AE38" t="s">
        <v>6</v>
      </c>
      <c r="AH38" t="s">
        <v>6</v>
      </c>
      <c r="AK38" t="s">
        <v>6</v>
      </c>
      <c r="AN38" t="s">
        <v>6</v>
      </c>
      <c r="AQ38" t="s">
        <v>6</v>
      </c>
      <c r="AT38" t="s">
        <v>6</v>
      </c>
      <c r="AW38" t="s">
        <v>6</v>
      </c>
      <c r="AZ38" t="s">
        <v>6</v>
      </c>
      <c r="BC38" t="s">
        <v>6</v>
      </c>
      <c r="BF38" t="s">
        <v>6</v>
      </c>
    </row>
    <row r="39" spans="1:60" x14ac:dyDescent="0.25">
      <c r="A39" t="s">
        <v>7</v>
      </c>
      <c r="B39">
        <f>B31*$B$10</f>
        <v>321428.57142857148</v>
      </c>
      <c r="D39" t="s">
        <v>7</v>
      </c>
      <c r="E39">
        <f>E31*$B$10</f>
        <v>315000.00000000006</v>
      </c>
      <c r="G39" t="s">
        <v>7</v>
      </c>
      <c r="H39">
        <f>H31*$B$10</f>
        <v>313071.42857142858</v>
      </c>
      <c r="J39" t="s">
        <v>7</v>
      </c>
      <c r="K39">
        <f>K31*$B$10</f>
        <v>312492.85714285716</v>
      </c>
      <c r="M39" t="s">
        <v>7</v>
      </c>
      <c r="N39">
        <f>N31*$B$10</f>
        <v>312319.28571428568</v>
      </c>
      <c r="P39" t="s">
        <v>7</v>
      </c>
      <c r="Q39">
        <f>Q31*$B$10</f>
        <v>312267.21428571426</v>
      </c>
      <c r="S39" t="s">
        <v>7</v>
      </c>
      <c r="T39">
        <f>T31*$B$10</f>
        <v>312251.59285714285</v>
      </c>
      <c r="V39" t="s">
        <v>7</v>
      </c>
      <c r="W39">
        <f>W31*$B$10</f>
        <v>312246.90642857144</v>
      </c>
      <c r="Y39" t="s">
        <v>7</v>
      </c>
      <c r="Z39">
        <f>Z31*$B$10</f>
        <v>312245.50049999997</v>
      </c>
      <c r="AB39" t="s">
        <v>7</v>
      </c>
      <c r="AC39">
        <f>AC31*$B$10</f>
        <v>312245.07872142852</v>
      </c>
      <c r="AE39" t="s">
        <v>7</v>
      </c>
      <c r="AF39">
        <f>AF31*$B$10</f>
        <v>312244.95218785712</v>
      </c>
      <c r="AH39" t="s">
        <v>7</v>
      </c>
      <c r="AI39">
        <f>AI31*$B$10</f>
        <v>312244.91422778572</v>
      </c>
      <c r="AK39" t="s">
        <v>7</v>
      </c>
      <c r="AL39">
        <f>AL31*$B$10</f>
        <v>312244.90283976425</v>
      </c>
      <c r="AN39" t="s">
        <v>7</v>
      </c>
      <c r="AO39">
        <f>AO31*$B$10</f>
        <v>312244.89942335786</v>
      </c>
      <c r="AQ39" t="s">
        <v>7</v>
      </c>
      <c r="AR39">
        <f>AR31*$B$10</f>
        <v>312244.89839843591</v>
      </c>
      <c r="AT39" t="s">
        <v>7</v>
      </c>
      <c r="AU39">
        <f>AU31*$B$10</f>
        <v>312244.89809095935</v>
      </c>
      <c r="AW39" t="s">
        <v>7</v>
      </c>
      <c r="AX39">
        <f>AX31*$B$10</f>
        <v>312244.89799871639</v>
      </c>
      <c r="AZ39" t="s">
        <v>7</v>
      </c>
      <c r="BA39">
        <f>BA31*$B$10</f>
        <v>312244.89797104348</v>
      </c>
      <c r="BC39" t="s">
        <v>7</v>
      </c>
      <c r="BD39">
        <f>BD31*$B$10</f>
        <v>312244.89796274161</v>
      </c>
      <c r="BF39" t="s">
        <v>7</v>
      </c>
      <c r="BG39">
        <f>BG31*$B$10</f>
        <v>312244.89796025102</v>
      </c>
    </row>
    <row r="40" spans="1:60" x14ac:dyDescent="0.25">
      <c r="A40" t="s">
        <v>8</v>
      </c>
      <c r="B40">
        <f>B28*$B$11+B35</f>
        <v>439428.57142857142</v>
      </c>
      <c r="D40" t="s">
        <v>8</v>
      </c>
      <c r="E40">
        <f>E28*$B$11+E35</f>
        <v>431028.57142857154</v>
      </c>
      <c r="G40" t="s">
        <v>8</v>
      </c>
      <c r="H40">
        <f>H28*$B$11+H35</f>
        <v>428508.57142857148</v>
      </c>
      <c r="J40" t="s">
        <v>8</v>
      </c>
      <c r="K40">
        <f>K28*$B$11+K35</f>
        <v>427752.57142857142</v>
      </c>
      <c r="M40" t="s">
        <v>8</v>
      </c>
      <c r="N40">
        <f>N28*$B$11+N35</f>
        <v>427525.77142857143</v>
      </c>
      <c r="P40" t="s">
        <v>8</v>
      </c>
      <c r="Q40">
        <f>Q28*$B$11+Q35</f>
        <v>427457.73142857151</v>
      </c>
      <c r="S40" t="s">
        <v>8</v>
      </c>
      <c r="T40">
        <f>T28*$B$11+T35</f>
        <v>427437.31942857144</v>
      </c>
      <c r="V40" t="s">
        <v>8</v>
      </c>
      <c r="W40">
        <f>W28*$B$11+W35</f>
        <v>427431.19582857139</v>
      </c>
      <c r="Y40" t="s">
        <v>8</v>
      </c>
      <c r="Z40">
        <f>Z28*$B$11+Z35</f>
        <v>427429.35874857148</v>
      </c>
      <c r="AB40" t="s">
        <v>8</v>
      </c>
      <c r="AC40">
        <f>AC28*$B$11+AC35</f>
        <v>427428.80762457137</v>
      </c>
      <c r="AE40" t="s">
        <v>8</v>
      </c>
      <c r="AF40">
        <f>AF28*$B$11+AF35</f>
        <v>427428.64228737145</v>
      </c>
      <c r="AH40" t="s">
        <v>8</v>
      </c>
      <c r="AI40">
        <f>AI28*$B$11+AI35</f>
        <v>427428.59268621146</v>
      </c>
      <c r="AK40" t="s">
        <v>8</v>
      </c>
      <c r="AL40">
        <f>AL28*$B$11+AL35</f>
        <v>427428.57780586352</v>
      </c>
      <c r="AN40" t="s">
        <v>8</v>
      </c>
      <c r="AO40">
        <f>AO28*$B$11+AO35</f>
        <v>427428.5733417591</v>
      </c>
      <c r="AQ40" t="s">
        <v>8</v>
      </c>
      <c r="AR40">
        <f>AR28*$B$11+AR35</f>
        <v>427428.57200252771</v>
      </c>
      <c r="AT40" t="s">
        <v>8</v>
      </c>
      <c r="AU40">
        <f>AU28*$B$11+AU35</f>
        <v>427428.57160075835</v>
      </c>
      <c r="AW40" t="s">
        <v>8</v>
      </c>
      <c r="AX40">
        <f>AX28*$B$11+AX35</f>
        <v>427428.57148022752</v>
      </c>
      <c r="AZ40" t="s">
        <v>8</v>
      </c>
      <c r="BA40">
        <f>BA28*$B$11+BA35</f>
        <v>427428.57144406828</v>
      </c>
      <c r="BC40" t="s">
        <v>8</v>
      </c>
      <c r="BD40">
        <f>BD28*$B$11+BD35</f>
        <v>427428.57143322047</v>
      </c>
      <c r="BF40" t="s">
        <v>8</v>
      </c>
      <c r="BG40">
        <f>BG28*$B$11+BG35</f>
        <v>427428.57142996619</v>
      </c>
    </row>
    <row r="41" spans="1:60" x14ac:dyDescent="0.25">
      <c r="A41" t="s">
        <v>14</v>
      </c>
      <c r="B41" s="1">
        <f>IF(B39&lt;B40,B39,B40)</f>
        <v>321428.57142857148</v>
      </c>
      <c r="C41" t="str">
        <f>IF(B41=B40,"MTDC","TFFA")</f>
        <v>TFFA</v>
      </c>
      <c r="D41" t="s">
        <v>14</v>
      </c>
      <c r="E41" s="1">
        <f>IF(E39&lt;E40,E39,E40)</f>
        <v>315000.00000000006</v>
      </c>
      <c r="F41" t="str">
        <f>IF(E41=E40,"MTDC","TFFA")</f>
        <v>TFFA</v>
      </c>
      <c r="G41" t="s">
        <v>14</v>
      </c>
      <c r="H41" s="1">
        <f>IF(H39&lt;H40,H39,H40)</f>
        <v>313071.42857142858</v>
      </c>
      <c r="I41" t="str">
        <f>IF(H41=H40,"MTDC","TFFA")</f>
        <v>TFFA</v>
      </c>
      <c r="J41" t="s">
        <v>14</v>
      </c>
      <c r="K41" s="1">
        <f>IF(K39&lt;K40,K39,K40)</f>
        <v>312492.85714285716</v>
      </c>
      <c r="L41" t="str">
        <f>IF(K41=K40,"MTDC","TFFA")</f>
        <v>TFFA</v>
      </c>
      <c r="M41" t="s">
        <v>14</v>
      </c>
      <c r="N41" s="1">
        <f>IF(N39&lt;N40,N39,N40)</f>
        <v>312319.28571428568</v>
      </c>
      <c r="O41" t="str">
        <f>IF(N41=N40,"MTDC","TFFA")</f>
        <v>TFFA</v>
      </c>
      <c r="P41" t="s">
        <v>14</v>
      </c>
      <c r="Q41" s="1">
        <f>IF(Q39&lt;Q40,Q39,Q40)</f>
        <v>312267.21428571426</v>
      </c>
      <c r="R41" t="str">
        <f>IF(Q41=Q40,"MTDC","TFFA")</f>
        <v>TFFA</v>
      </c>
      <c r="S41" t="s">
        <v>14</v>
      </c>
      <c r="T41" s="1">
        <f>IF(T39&lt;T40,T39,T40)</f>
        <v>312251.59285714285</v>
      </c>
      <c r="U41" t="str">
        <f>IF(T41=T40,"MTDC","TFFA")</f>
        <v>TFFA</v>
      </c>
      <c r="V41" t="s">
        <v>14</v>
      </c>
      <c r="W41" s="1">
        <f>IF(W39&lt;W40,W39,W40)</f>
        <v>312246.90642857144</v>
      </c>
      <c r="X41" t="str">
        <f>IF(W41=W40,"MTDC","TFFA")</f>
        <v>TFFA</v>
      </c>
      <c r="Y41" t="s">
        <v>14</v>
      </c>
      <c r="Z41" s="1">
        <f>IF(Z39&lt;Z40,Z39,Z40)</f>
        <v>312245.50049999997</v>
      </c>
      <c r="AA41" t="str">
        <f>IF(Z41=Z40,"MTDC","TFFA")</f>
        <v>TFFA</v>
      </c>
      <c r="AB41" t="s">
        <v>14</v>
      </c>
      <c r="AC41" s="1">
        <f>IF(AC39&lt;AC40,AC39,AC40)</f>
        <v>312245.07872142852</v>
      </c>
      <c r="AD41" t="str">
        <f>IF(AC41=AC40,"MTDC","TFFA")</f>
        <v>TFFA</v>
      </c>
      <c r="AE41" t="s">
        <v>14</v>
      </c>
      <c r="AF41" s="1">
        <f>IF(AF39&lt;AF40,AF39,AF40)</f>
        <v>312244.95218785712</v>
      </c>
      <c r="AG41" t="str">
        <f>IF(AF41=AF40,"MTDC","TFFA")</f>
        <v>TFFA</v>
      </c>
      <c r="AH41" t="s">
        <v>14</v>
      </c>
      <c r="AI41" s="1">
        <f>IF(AI39&lt;AI40,AI39,AI40)</f>
        <v>312244.91422778572</v>
      </c>
      <c r="AJ41" t="str">
        <f>IF(AI41=AI40,"MTDC","TFFA")</f>
        <v>TFFA</v>
      </c>
      <c r="AK41" t="s">
        <v>14</v>
      </c>
      <c r="AL41" s="1">
        <f>IF(AL39&lt;AL40,AL39,AL40)</f>
        <v>312244.90283976425</v>
      </c>
      <c r="AM41" t="str">
        <f>IF(AL41=AL40,"MTDC","TFFA")</f>
        <v>TFFA</v>
      </c>
      <c r="AN41" t="s">
        <v>14</v>
      </c>
      <c r="AO41" s="1">
        <f>IF(AO39&lt;AO40,AO39,AO40)</f>
        <v>312244.89942335786</v>
      </c>
      <c r="AP41" t="str">
        <f>IF(AO41=AO40,"MTDC","TFFA")</f>
        <v>TFFA</v>
      </c>
      <c r="AQ41" t="s">
        <v>14</v>
      </c>
      <c r="AR41" s="1">
        <f>IF(AR39&lt;AR40,AR39,AR40)</f>
        <v>312244.89839843591</v>
      </c>
      <c r="AS41" t="str">
        <f>IF(AR41=AR40,"MTDC","TFFA")</f>
        <v>TFFA</v>
      </c>
      <c r="AT41" t="s">
        <v>14</v>
      </c>
      <c r="AU41" s="1">
        <f>IF(AU39&lt;AU40,AU39,AU40)</f>
        <v>312244.89809095935</v>
      </c>
      <c r="AV41" t="str">
        <f>IF(AU41=AU40,"MTDC","TFFA")</f>
        <v>TFFA</v>
      </c>
      <c r="AW41" t="s">
        <v>14</v>
      </c>
      <c r="AX41" s="1">
        <f>IF(AX39&lt;AX40,AX39,AX40)</f>
        <v>312244.89799871639</v>
      </c>
      <c r="AY41" t="str">
        <f>IF(AX41=AX40,"MTDC","TFFA")</f>
        <v>TFFA</v>
      </c>
      <c r="AZ41" t="s">
        <v>14</v>
      </c>
      <c r="BA41" s="1">
        <f>IF(BA39&lt;BA40,BA39,BA40)</f>
        <v>312244.89797104348</v>
      </c>
      <c r="BB41" t="str">
        <f>IF(BA41=BA40,"MTDC","TFFA")</f>
        <v>TFFA</v>
      </c>
      <c r="BC41" t="s">
        <v>14</v>
      </c>
      <c r="BD41" s="1">
        <f>IF(BD39&lt;BD40,BD39,BD40)</f>
        <v>312244.89796274161</v>
      </c>
      <c r="BE41" t="str">
        <f>IF(BD41=BD40,"MTDC","TFFA")</f>
        <v>TFFA</v>
      </c>
      <c r="BF41" t="s">
        <v>14</v>
      </c>
      <c r="BG41" s="1">
        <f>IF(BG39&lt;BG40,BG39,BG40)</f>
        <v>312244.89796025102</v>
      </c>
      <c r="BH41" t="str">
        <f>IF(BG41=BG40,"MTDC","TFFA")</f>
        <v>TFFA</v>
      </c>
    </row>
    <row r="43" spans="1:60" x14ac:dyDescent="0.25">
      <c r="A43" t="s">
        <v>38</v>
      </c>
      <c r="B43" s="8">
        <f>B25-B4</f>
        <v>21428.571428571362</v>
      </c>
      <c r="D43" t="s">
        <v>38</v>
      </c>
      <c r="E43" s="8">
        <f>E25-E4</f>
        <v>6428.5714285715949</v>
      </c>
      <c r="G43" t="s">
        <v>38</v>
      </c>
      <c r="H43" s="8">
        <f>H25-H4</f>
        <v>1928.5714285714785</v>
      </c>
      <c r="J43" t="s">
        <v>38</v>
      </c>
      <c r="K43" s="8">
        <f>K25-K4</f>
        <v>578.57142857136205</v>
      </c>
      <c r="M43" t="s">
        <v>38</v>
      </c>
      <c r="N43" s="8">
        <f>N25-N4</f>
        <v>173.57142857136205</v>
      </c>
      <c r="P43" t="s">
        <v>38</v>
      </c>
      <c r="Q43" s="8">
        <f>Q25-Q4</f>
        <v>52.071428571478464</v>
      </c>
      <c r="S43" t="s">
        <v>38</v>
      </c>
      <c r="T43" s="8">
        <f>T25-T4</f>
        <v>15.621428571408615</v>
      </c>
      <c r="V43" t="s">
        <v>38</v>
      </c>
      <c r="W43" s="8">
        <f>W25-W4</f>
        <v>4.6864285713527352</v>
      </c>
      <c r="Y43" t="s">
        <v>38</v>
      </c>
      <c r="Z43" s="8">
        <f>Z25-Z4</f>
        <v>1.4059285714756697</v>
      </c>
      <c r="AB43" t="s">
        <v>38</v>
      </c>
      <c r="AC43" s="8">
        <f>AC25-AC4</f>
        <v>0.4217785713262856</v>
      </c>
      <c r="AE43" t="s">
        <v>38</v>
      </c>
      <c r="AF43" s="8">
        <f>AF25-AF4</f>
        <v>0.12653357139788568</v>
      </c>
      <c r="AH43" t="s">
        <v>38</v>
      </c>
      <c r="AI43" s="8">
        <f>AI25-AI4</f>
        <v>3.7960071465931833E-2</v>
      </c>
      <c r="AK43" t="s">
        <v>38</v>
      </c>
      <c r="AL43" s="8">
        <f>AL25-AL4</f>
        <v>1.1388021521270275E-2</v>
      </c>
      <c r="AN43" t="s">
        <v>38</v>
      </c>
      <c r="AO43" s="8">
        <f>AO25-AO4</f>
        <v>3.4164064563810825E-3</v>
      </c>
      <c r="AQ43" t="s">
        <v>38</v>
      </c>
      <c r="AR43" s="8">
        <f>AR25-AR4</f>
        <v>1.024921890348196E-3</v>
      </c>
      <c r="AT43" t="s">
        <v>38</v>
      </c>
      <c r="AU43" s="8">
        <f>AU25-AU4</f>
        <v>3.0747661367058754E-4</v>
      </c>
      <c r="AW43" t="s">
        <v>38</v>
      </c>
      <c r="AX43" s="8">
        <f>AX25-AX4</f>
        <v>9.2242960818111897E-5</v>
      </c>
      <c r="AZ43" t="s">
        <v>38</v>
      </c>
      <c r="BA43" s="8">
        <f>BA25-BA4</f>
        <v>2.7672853320837021E-5</v>
      </c>
      <c r="BC43" t="s">
        <v>38</v>
      </c>
      <c r="BD43" s="8">
        <f>BD25-BD4</f>
        <v>8.3018094301223755E-6</v>
      </c>
      <c r="BF43" t="s">
        <v>38</v>
      </c>
      <c r="BG43" s="8">
        <f>BG25-BG4</f>
        <v>2.4905893951654434E-6</v>
      </c>
    </row>
    <row r="44" spans="1:60" x14ac:dyDescent="0.25">
      <c r="A44" t="s">
        <v>39</v>
      </c>
      <c r="B44" s="8">
        <f>B41-B20</f>
        <v>0</v>
      </c>
      <c r="D44" t="s">
        <v>39</v>
      </c>
      <c r="E44" s="8">
        <f>E41-E8</f>
        <v>-6428.5714285715367</v>
      </c>
      <c r="G44" t="s">
        <v>39</v>
      </c>
      <c r="H44" s="8">
        <f>H41-H8</f>
        <v>-1928.5714285714785</v>
      </c>
      <c r="J44" t="s">
        <v>39</v>
      </c>
      <c r="K44" s="8">
        <f>K41-K8</f>
        <v>-578.57142857142026</v>
      </c>
      <c r="M44" t="s">
        <v>39</v>
      </c>
      <c r="N44" s="8">
        <f>N41-N8</f>
        <v>-173.57142857147846</v>
      </c>
      <c r="P44" t="s">
        <v>39</v>
      </c>
      <c r="Q44" s="8">
        <f>Q41-Q8</f>
        <v>-52.071428571420256</v>
      </c>
      <c r="S44" t="s">
        <v>39</v>
      </c>
      <c r="T44" s="8">
        <f>T41-T8</f>
        <v>-15.621428571408615</v>
      </c>
      <c r="V44" t="s">
        <v>39</v>
      </c>
      <c r="W44" s="8">
        <f>W41-W8</f>
        <v>-4.6864285714109428</v>
      </c>
      <c r="Y44" t="s">
        <v>39</v>
      </c>
      <c r="Z44" s="8">
        <f>Z41-Z8</f>
        <v>-1.4059285714756697</v>
      </c>
      <c r="AB44" t="s">
        <v>39</v>
      </c>
      <c r="AC44" s="8">
        <f>AC41-AC8</f>
        <v>-0.42177857144270092</v>
      </c>
      <c r="AE44" t="s">
        <v>39</v>
      </c>
      <c r="AF44" s="8">
        <f>AF41-AF8</f>
        <v>-0.12653357139788568</v>
      </c>
      <c r="AH44" t="s">
        <v>39</v>
      </c>
      <c r="AI44" s="8">
        <f>AI41-AI8</f>
        <v>-3.7960071407724172E-2</v>
      </c>
      <c r="AK44" t="s">
        <v>39</v>
      </c>
      <c r="AL44" s="8">
        <f>AL41-AL8</f>
        <v>-1.1388021463062614E-2</v>
      </c>
      <c r="AN44" t="s">
        <v>39</v>
      </c>
      <c r="AO44" s="8">
        <f>AO41-AO8</f>
        <v>-3.4164063981734216E-3</v>
      </c>
      <c r="AQ44" t="s">
        <v>39</v>
      </c>
      <c r="AR44" s="8">
        <f>AR41-AR8</f>
        <v>-1.0249219485558569E-3</v>
      </c>
      <c r="AT44" t="s">
        <v>39</v>
      </c>
      <c r="AU44" s="8">
        <f>AU41-AU8</f>
        <v>-3.0747655546292663E-4</v>
      </c>
      <c r="AW44" t="s">
        <v>39</v>
      </c>
      <c r="AX44" s="8">
        <f>AX41-AX8</f>
        <v>-9.2242960818111897E-5</v>
      </c>
      <c r="AZ44" t="s">
        <v>39</v>
      </c>
      <c r="BA44" s="8">
        <f>BA41-BA8</f>
        <v>-2.7672911528497934E-5</v>
      </c>
      <c r="BC44" t="s">
        <v>39</v>
      </c>
      <c r="BD44" s="8">
        <f>BD41-BD8</f>
        <v>-8.301867637783289E-6</v>
      </c>
      <c r="BF44" t="s">
        <v>39</v>
      </c>
      <c r="BG44" s="8">
        <f>BG41-BG8</f>
        <v>-2.4905893951654434E-6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684"/>
  <sheetViews>
    <sheetView tabSelected="1" zoomScale="91" zoomScaleNormal="91" workbookViewId="0"/>
  </sheetViews>
  <sheetFormatPr defaultRowHeight="15" x14ac:dyDescent="0.25"/>
  <cols>
    <col min="1" max="1" width="38.5703125" customWidth="1"/>
    <col min="2" max="2" width="16.140625" customWidth="1"/>
    <col min="4" max="4" width="11" bestFit="1" customWidth="1"/>
  </cols>
  <sheetData>
    <row r="1" spans="1:5" x14ac:dyDescent="0.25">
      <c r="A1" s="67" t="s">
        <v>83</v>
      </c>
      <c r="B1" s="68"/>
    </row>
    <row r="3" spans="1:5" x14ac:dyDescent="0.25">
      <c r="A3" s="69" t="s">
        <v>85</v>
      </c>
      <c r="B3" s="63"/>
      <c r="C3" s="58"/>
      <c r="E3" s="25" t="s">
        <v>112</v>
      </c>
    </row>
    <row r="4" spans="1:5" x14ac:dyDescent="0.25">
      <c r="A4" s="70" t="s">
        <v>86</v>
      </c>
      <c r="B4" s="64">
        <v>0.3</v>
      </c>
      <c r="C4" s="58"/>
      <c r="E4" t="s">
        <v>113</v>
      </c>
    </row>
    <row r="5" spans="1:5" x14ac:dyDescent="0.25">
      <c r="C5" s="58"/>
      <c r="E5" t="s">
        <v>114</v>
      </c>
    </row>
    <row r="6" spans="1:5" x14ac:dyDescent="0.25">
      <c r="A6" s="26" t="s">
        <v>55</v>
      </c>
      <c r="B6" s="62"/>
      <c r="C6" s="58"/>
      <c r="E6" t="s">
        <v>115</v>
      </c>
    </row>
    <row r="7" spans="1:5" x14ac:dyDescent="0.25">
      <c r="A7" s="23" t="s">
        <v>56</v>
      </c>
      <c r="B7" s="24">
        <f>'Subaward&amp;Exclusion Worksheet'!G24</f>
        <v>0</v>
      </c>
      <c r="C7" s="58"/>
      <c r="E7" t="s">
        <v>116</v>
      </c>
    </row>
    <row r="8" spans="1:5" hidden="1" x14ac:dyDescent="0.25">
      <c r="A8" s="42" t="s">
        <v>57</v>
      </c>
      <c r="B8" s="43">
        <f>SUM('Subaward&amp;Exclusion Worksheet'!7:7)</f>
        <v>0</v>
      </c>
      <c r="C8" s="46"/>
    </row>
    <row r="9" spans="1:5" hidden="1" x14ac:dyDescent="0.25">
      <c r="A9" s="42" t="s">
        <v>58</v>
      </c>
      <c r="B9" s="43">
        <f>B6-B7-B8</f>
        <v>0</v>
      </c>
      <c r="C9" s="46"/>
    </row>
    <row r="10" spans="1:5" hidden="1" x14ac:dyDescent="0.25">
      <c r="A10" s="42" t="s">
        <v>72</v>
      </c>
      <c r="B10" s="43">
        <f>(B6/(1-B4)-B6)</f>
        <v>0</v>
      </c>
      <c r="C10" s="59" t="e">
        <f>B10/B11</f>
        <v>#DIV/0!</v>
      </c>
    </row>
    <row r="11" spans="1:5" hidden="1" x14ac:dyDescent="0.25">
      <c r="A11" s="44" t="s">
        <v>59</v>
      </c>
      <c r="B11" s="45">
        <f>B10+B6</f>
        <v>0</v>
      </c>
      <c r="C11" s="46"/>
    </row>
    <row r="12" spans="1:5" hidden="1" x14ac:dyDescent="0.25">
      <c r="A12" s="46"/>
      <c r="B12" s="47"/>
      <c r="C12" s="46"/>
    </row>
    <row r="13" spans="1:5" hidden="1" x14ac:dyDescent="0.25">
      <c r="A13" s="46"/>
      <c r="B13" s="46"/>
      <c r="C13" s="46"/>
    </row>
    <row r="14" spans="1:5" hidden="1" x14ac:dyDescent="0.25">
      <c r="A14" s="48" t="s">
        <v>62</v>
      </c>
      <c r="B14" s="49"/>
      <c r="C14" s="46"/>
    </row>
    <row r="15" spans="1:5" hidden="1" x14ac:dyDescent="0.25">
      <c r="A15" s="50"/>
      <c r="B15" s="51"/>
      <c r="C15" s="46"/>
    </row>
    <row r="16" spans="1:5" hidden="1" x14ac:dyDescent="0.25">
      <c r="A16" s="42" t="s">
        <v>63</v>
      </c>
      <c r="B16" s="43">
        <f>B11*B4</f>
        <v>0</v>
      </c>
      <c r="C16" s="46"/>
    </row>
    <row r="17" spans="1:3" hidden="1" x14ac:dyDescent="0.25">
      <c r="A17" s="42" t="s">
        <v>67</v>
      </c>
      <c r="B17" s="43">
        <f>B9*B3</f>
        <v>0</v>
      </c>
      <c r="C17" s="46"/>
    </row>
    <row r="18" spans="1:3" hidden="1" x14ac:dyDescent="0.25">
      <c r="A18" s="42" t="s">
        <v>64</v>
      </c>
      <c r="B18" s="43">
        <f>SUM('Subaward&amp;Exclusion Worksheet'!6:6)</f>
        <v>0</v>
      </c>
      <c r="C18" s="46"/>
    </row>
    <row r="19" spans="1:3" hidden="1" x14ac:dyDescent="0.25">
      <c r="A19" s="42" t="s">
        <v>68</v>
      </c>
      <c r="B19" s="43">
        <f>B18+B17</f>
        <v>0</v>
      </c>
      <c r="C19" s="46"/>
    </row>
    <row r="20" spans="1:3" hidden="1" x14ac:dyDescent="0.25">
      <c r="A20" s="42" t="s">
        <v>65</v>
      </c>
      <c r="B20" s="43">
        <f>IF(B16&lt;(B17+B18),B16,(B17+B18))</f>
        <v>0</v>
      </c>
      <c r="C20" s="46" t="str">
        <f>IF(B20=B16,"TFFA","MTDC")</f>
        <v>TFFA</v>
      </c>
    </row>
    <row r="21" spans="1:3" hidden="1" x14ac:dyDescent="0.25">
      <c r="A21" s="44" t="s">
        <v>66</v>
      </c>
      <c r="B21" s="45">
        <f>B20-B18</f>
        <v>0</v>
      </c>
      <c r="C21" s="46"/>
    </row>
    <row r="22" spans="1:3" ht="15.75" hidden="1" thickBot="1" x14ac:dyDescent="0.3">
      <c r="A22" s="52" t="s">
        <v>76</v>
      </c>
      <c r="B22" s="53">
        <f>B21+B6</f>
        <v>0</v>
      </c>
      <c r="C22" s="46"/>
    </row>
    <row r="23" spans="1:3" ht="16.5" hidden="1" thickTop="1" thickBot="1" x14ac:dyDescent="0.3">
      <c r="A23" s="46"/>
      <c r="B23" s="46"/>
      <c r="C23" s="46"/>
    </row>
    <row r="24" spans="1:3" ht="16.5" hidden="1" thickTop="1" thickBot="1" x14ac:dyDescent="0.3">
      <c r="A24" s="54" t="s">
        <v>70</v>
      </c>
      <c r="B24" s="55" t="e">
        <f>+B21/B9</f>
        <v>#DIV/0!</v>
      </c>
      <c r="C24" s="46"/>
    </row>
    <row r="25" spans="1:3" ht="16.5" hidden="1" thickTop="1" thickBot="1" x14ac:dyDescent="0.3">
      <c r="A25" s="56" t="s">
        <v>71</v>
      </c>
      <c r="B25" s="57" t="e">
        <f>+B21/B6</f>
        <v>#DIV/0!</v>
      </c>
      <c r="C25" s="46"/>
    </row>
    <row r="26" spans="1:3" ht="15.75" hidden="1" thickTop="1" x14ac:dyDescent="0.25">
      <c r="A26" s="46"/>
      <c r="B26" s="46"/>
      <c r="C26" s="46"/>
    </row>
    <row r="27" spans="1:3" ht="14.25" hidden="1" customHeight="1" x14ac:dyDescent="0.25">
      <c r="A27" t="s">
        <v>75</v>
      </c>
      <c r="B27" s="38">
        <f>B22-B11</f>
        <v>0</v>
      </c>
      <c r="C27" s="46"/>
    </row>
    <row r="28" spans="1:3" s="34" customFormat="1" ht="15.75" hidden="1" thickBot="1" x14ac:dyDescent="0.3">
      <c r="A28" s="60"/>
      <c r="B28" s="60"/>
      <c r="C28" s="60"/>
    </row>
    <row r="29" spans="1:3" hidden="1" x14ac:dyDescent="0.25">
      <c r="A29" s="58"/>
      <c r="B29" s="58"/>
      <c r="C29" s="58"/>
    </row>
    <row r="30" spans="1:3" hidden="1" x14ac:dyDescent="0.25">
      <c r="A30" s="10" t="s">
        <v>53</v>
      </c>
      <c r="B30" s="61">
        <f>$B$3</f>
        <v>0</v>
      </c>
    </row>
    <row r="31" spans="1:3" hidden="1" x14ac:dyDescent="0.25">
      <c r="A31" s="10" t="s">
        <v>54</v>
      </c>
      <c r="B31" s="61">
        <f>$B$4</f>
        <v>0.3</v>
      </c>
    </row>
    <row r="32" spans="1:3" hidden="1" x14ac:dyDescent="0.25"/>
    <row r="33" spans="1:3" hidden="1" x14ac:dyDescent="0.25">
      <c r="A33" s="17" t="s">
        <v>69</v>
      </c>
      <c r="B33" s="35" t="s">
        <v>16</v>
      </c>
    </row>
    <row r="34" spans="1:3" hidden="1" x14ac:dyDescent="0.25">
      <c r="A34" s="19"/>
      <c r="B34" s="20"/>
    </row>
    <row r="35" spans="1:3" hidden="1" x14ac:dyDescent="0.25">
      <c r="A35" s="19" t="s">
        <v>55</v>
      </c>
      <c r="B35" s="33">
        <f>B6</f>
        <v>0</v>
      </c>
    </row>
    <row r="36" spans="1:3" hidden="1" x14ac:dyDescent="0.25">
      <c r="A36" s="19" t="s">
        <v>56</v>
      </c>
      <c r="B36" s="33">
        <f>B7</f>
        <v>0</v>
      </c>
    </row>
    <row r="37" spans="1:3" hidden="1" x14ac:dyDescent="0.25">
      <c r="A37" s="19" t="s">
        <v>57</v>
      </c>
      <c r="B37" s="33">
        <f>B8</f>
        <v>0</v>
      </c>
    </row>
    <row r="38" spans="1:3" hidden="1" x14ac:dyDescent="0.25">
      <c r="A38" s="19" t="s">
        <v>58</v>
      </c>
      <c r="B38" s="33">
        <f>B9</f>
        <v>0</v>
      </c>
    </row>
    <row r="39" spans="1:3" hidden="1" x14ac:dyDescent="0.25">
      <c r="A39" s="19" t="s">
        <v>65</v>
      </c>
      <c r="B39" s="22">
        <f>B20</f>
        <v>0</v>
      </c>
      <c r="C39" s="28" t="e">
        <f>B39/B41</f>
        <v>#DIV/0!</v>
      </c>
    </row>
    <row r="40" spans="1:3" hidden="1" x14ac:dyDescent="0.25">
      <c r="A40" s="23" t="s">
        <v>66</v>
      </c>
      <c r="B40" s="24">
        <f>B21</f>
        <v>0</v>
      </c>
    </row>
    <row r="41" spans="1:3" ht="15.75" hidden="1" thickBot="1" x14ac:dyDescent="0.3">
      <c r="A41" s="36" t="s">
        <v>59</v>
      </c>
      <c r="B41" s="37">
        <f>B40+B35</f>
        <v>0</v>
      </c>
    </row>
    <row r="42" spans="1:3" ht="15.75" hidden="1" thickTop="1" x14ac:dyDescent="0.25"/>
    <row r="43" spans="1:3" hidden="1" x14ac:dyDescent="0.25">
      <c r="A43" s="17" t="s">
        <v>62</v>
      </c>
      <c r="B43" s="18"/>
    </row>
    <row r="44" spans="1:3" hidden="1" x14ac:dyDescent="0.25">
      <c r="A44" s="26"/>
      <c r="B44" s="27"/>
    </row>
    <row r="45" spans="1:3" hidden="1" x14ac:dyDescent="0.25">
      <c r="A45" s="19" t="s">
        <v>63</v>
      </c>
      <c r="B45" s="22">
        <f>B41*B31</f>
        <v>0</v>
      </c>
    </row>
    <row r="46" spans="1:3" hidden="1" x14ac:dyDescent="0.25">
      <c r="A46" s="19" t="s">
        <v>67</v>
      </c>
      <c r="B46" s="22">
        <f>B38*B30</f>
        <v>0</v>
      </c>
    </row>
    <row r="47" spans="1:3" hidden="1" x14ac:dyDescent="0.25">
      <c r="A47" s="19" t="s">
        <v>64</v>
      </c>
      <c r="B47" s="22">
        <f>SUM('Subaward&amp;Exclusion Worksheet'!6:6)</f>
        <v>0</v>
      </c>
    </row>
    <row r="48" spans="1:3" hidden="1" x14ac:dyDescent="0.25">
      <c r="A48" s="19" t="s">
        <v>68</v>
      </c>
      <c r="B48" s="22">
        <f>B47+B46</f>
        <v>0</v>
      </c>
    </row>
    <row r="49" spans="1:3" hidden="1" x14ac:dyDescent="0.25">
      <c r="A49" s="19" t="s">
        <v>65</v>
      </c>
      <c r="B49" s="22">
        <f>IF(B45&lt;(B46+B47),B45,(B46+B47))</f>
        <v>0</v>
      </c>
      <c r="C49" t="str">
        <f>IF(B49=B45,"TFFA","MTDC")</f>
        <v>TFFA</v>
      </c>
    </row>
    <row r="50" spans="1:3" hidden="1" x14ac:dyDescent="0.25">
      <c r="A50" s="23" t="s">
        <v>66</v>
      </c>
      <c r="B50" s="24">
        <f>B49-B47</f>
        <v>0</v>
      </c>
    </row>
    <row r="51" spans="1:3" ht="15.75" hidden="1" thickBot="1" x14ac:dyDescent="0.3">
      <c r="A51" s="36" t="s">
        <v>76</v>
      </c>
      <c r="B51" s="37">
        <f>B50+B35</f>
        <v>0</v>
      </c>
    </row>
    <row r="52" spans="1:3" ht="16.5" hidden="1" thickTop="1" thickBot="1" x14ac:dyDescent="0.3"/>
    <row r="53" spans="1:3" ht="16.5" hidden="1" thickTop="1" thickBot="1" x14ac:dyDescent="0.3">
      <c r="A53" s="29" t="s">
        <v>70</v>
      </c>
      <c r="B53" s="30" t="e">
        <f>+B50/B38</f>
        <v>#DIV/0!</v>
      </c>
    </row>
    <row r="54" spans="1:3" ht="16.5" hidden="1" thickTop="1" thickBot="1" x14ac:dyDescent="0.3">
      <c r="A54" s="31" t="s">
        <v>71</v>
      </c>
      <c r="B54" s="32" t="e">
        <f>+B50/B35</f>
        <v>#DIV/0!</v>
      </c>
    </row>
    <row r="55" spans="1:3" ht="15.75" hidden="1" thickTop="1" x14ac:dyDescent="0.25"/>
    <row r="56" spans="1:3" hidden="1" x14ac:dyDescent="0.25">
      <c r="A56" t="s">
        <v>73</v>
      </c>
      <c r="B56" s="38">
        <f>B49-B20</f>
        <v>0</v>
      </c>
    </row>
    <row r="57" spans="1:3" hidden="1" x14ac:dyDescent="0.25">
      <c r="A57" t="s">
        <v>74</v>
      </c>
      <c r="B57" s="38">
        <f>+B50-B21</f>
        <v>0</v>
      </c>
    </row>
    <row r="58" spans="1:3" hidden="1" x14ac:dyDescent="0.25">
      <c r="A58" t="s">
        <v>75</v>
      </c>
      <c r="B58" s="38">
        <f>B51-B41</f>
        <v>0</v>
      </c>
    </row>
    <row r="59" spans="1:3" ht="15.75" hidden="1" thickBot="1" x14ac:dyDescent="0.3">
      <c r="A59" s="9"/>
      <c r="B59" s="9"/>
      <c r="C59" s="9"/>
    </row>
    <row r="60" spans="1:3" hidden="1" x14ac:dyDescent="0.25"/>
    <row r="61" spans="1:3" hidden="1" x14ac:dyDescent="0.25">
      <c r="A61" s="10" t="s">
        <v>53</v>
      </c>
      <c r="B61" s="61">
        <f>$B$3</f>
        <v>0</v>
      </c>
    </row>
    <row r="62" spans="1:3" hidden="1" x14ac:dyDescent="0.25">
      <c r="A62" s="10" t="s">
        <v>54</v>
      </c>
      <c r="B62" s="61">
        <f>$B$4</f>
        <v>0.3</v>
      </c>
    </row>
    <row r="63" spans="1:3" hidden="1" x14ac:dyDescent="0.25"/>
    <row r="64" spans="1:3" hidden="1" x14ac:dyDescent="0.25">
      <c r="A64" s="17" t="s">
        <v>69</v>
      </c>
      <c r="B64" s="35" t="s">
        <v>17</v>
      </c>
    </row>
    <row r="65" spans="1:3" hidden="1" x14ac:dyDescent="0.25">
      <c r="A65" s="19"/>
      <c r="B65" s="20"/>
    </row>
    <row r="66" spans="1:3" hidden="1" x14ac:dyDescent="0.25">
      <c r="A66" s="19" t="s">
        <v>55</v>
      </c>
      <c r="B66" s="33">
        <f>B35</f>
        <v>0</v>
      </c>
    </row>
    <row r="67" spans="1:3" hidden="1" x14ac:dyDescent="0.25">
      <c r="A67" s="19" t="s">
        <v>56</v>
      </c>
      <c r="B67" s="33">
        <f>B36</f>
        <v>0</v>
      </c>
    </row>
    <row r="68" spans="1:3" hidden="1" x14ac:dyDescent="0.25">
      <c r="A68" s="19" t="s">
        <v>57</v>
      </c>
      <c r="B68" s="33">
        <f>B37</f>
        <v>0</v>
      </c>
    </row>
    <row r="69" spans="1:3" hidden="1" x14ac:dyDescent="0.25">
      <c r="A69" s="19" t="s">
        <v>58</v>
      </c>
      <c r="B69" s="33">
        <f>B38</f>
        <v>0</v>
      </c>
    </row>
    <row r="70" spans="1:3" hidden="1" x14ac:dyDescent="0.25">
      <c r="A70" s="19" t="s">
        <v>65</v>
      </c>
      <c r="B70" s="22">
        <f>B49</f>
        <v>0</v>
      </c>
      <c r="C70" s="28" t="e">
        <f>B70/B72</f>
        <v>#DIV/0!</v>
      </c>
    </row>
    <row r="71" spans="1:3" hidden="1" x14ac:dyDescent="0.25">
      <c r="A71" s="23" t="s">
        <v>66</v>
      </c>
      <c r="B71" s="24">
        <f>B50</f>
        <v>0</v>
      </c>
    </row>
    <row r="72" spans="1:3" ht="15.75" hidden="1" thickBot="1" x14ac:dyDescent="0.3">
      <c r="A72" s="36" t="s">
        <v>59</v>
      </c>
      <c r="B72" s="37">
        <f>B71+B66</f>
        <v>0</v>
      </c>
    </row>
    <row r="73" spans="1:3" ht="15.75" hidden="1" thickTop="1" x14ac:dyDescent="0.25"/>
    <row r="74" spans="1:3" hidden="1" x14ac:dyDescent="0.25">
      <c r="A74" s="17" t="s">
        <v>62</v>
      </c>
      <c r="B74" s="18"/>
    </row>
    <row r="75" spans="1:3" hidden="1" x14ac:dyDescent="0.25">
      <c r="A75" s="26"/>
      <c r="B75" s="27"/>
    </row>
    <row r="76" spans="1:3" hidden="1" x14ac:dyDescent="0.25">
      <c r="A76" s="19" t="s">
        <v>63</v>
      </c>
      <c r="B76" s="22">
        <f>B72*B62</f>
        <v>0</v>
      </c>
    </row>
    <row r="77" spans="1:3" hidden="1" x14ac:dyDescent="0.25">
      <c r="A77" s="19" t="s">
        <v>67</v>
      </c>
      <c r="B77" s="22">
        <f>B69*B61</f>
        <v>0</v>
      </c>
    </row>
    <row r="78" spans="1:3" hidden="1" x14ac:dyDescent="0.25">
      <c r="A78" s="19" t="s">
        <v>64</v>
      </c>
      <c r="B78" s="22">
        <f>SUM('Subaward&amp;Exclusion Worksheet'!6:6)</f>
        <v>0</v>
      </c>
    </row>
    <row r="79" spans="1:3" hidden="1" x14ac:dyDescent="0.25">
      <c r="A79" s="19" t="s">
        <v>68</v>
      </c>
      <c r="B79" s="22">
        <f>B78+B77</f>
        <v>0</v>
      </c>
    </row>
    <row r="80" spans="1:3" hidden="1" x14ac:dyDescent="0.25">
      <c r="A80" s="19" t="s">
        <v>65</v>
      </c>
      <c r="B80" s="22">
        <f>IF(B76&lt;(B77+B78),B76,(B77+B78))</f>
        <v>0</v>
      </c>
      <c r="C80" t="str">
        <f>IF(B80=B76,"TFFA","MTDC")</f>
        <v>TFFA</v>
      </c>
    </row>
    <row r="81" spans="1:3" hidden="1" x14ac:dyDescent="0.25">
      <c r="A81" s="23" t="s">
        <v>66</v>
      </c>
      <c r="B81" s="24">
        <f>B80-B78</f>
        <v>0</v>
      </c>
    </row>
    <row r="82" spans="1:3" ht="15.75" hidden="1" thickBot="1" x14ac:dyDescent="0.3">
      <c r="A82" s="36" t="s">
        <v>76</v>
      </c>
      <c r="B82" s="37">
        <f>B81+B66</f>
        <v>0</v>
      </c>
    </row>
    <row r="83" spans="1:3" ht="16.5" hidden="1" thickTop="1" thickBot="1" x14ac:dyDescent="0.3"/>
    <row r="84" spans="1:3" ht="16.5" hidden="1" thickTop="1" thickBot="1" x14ac:dyDescent="0.3">
      <c r="A84" s="29" t="s">
        <v>70</v>
      </c>
      <c r="B84" s="30" t="e">
        <f>+B81/B69</f>
        <v>#DIV/0!</v>
      </c>
    </row>
    <row r="85" spans="1:3" ht="16.5" hidden="1" thickTop="1" thickBot="1" x14ac:dyDescent="0.3">
      <c r="A85" s="31" t="s">
        <v>71</v>
      </c>
      <c r="B85" s="32" t="e">
        <f>+B81/B66</f>
        <v>#DIV/0!</v>
      </c>
    </row>
    <row r="86" spans="1:3" ht="15.75" hidden="1" thickTop="1" x14ac:dyDescent="0.25"/>
    <row r="87" spans="1:3" hidden="1" x14ac:dyDescent="0.25">
      <c r="A87" t="s">
        <v>73</v>
      </c>
      <c r="B87" s="38">
        <f>B80-B49</f>
        <v>0</v>
      </c>
    </row>
    <row r="88" spans="1:3" hidden="1" x14ac:dyDescent="0.25">
      <c r="A88" t="s">
        <v>74</v>
      </c>
      <c r="B88" s="38">
        <f>+B81-B50</f>
        <v>0</v>
      </c>
    </row>
    <row r="89" spans="1:3" hidden="1" x14ac:dyDescent="0.25">
      <c r="A89" t="s">
        <v>75</v>
      </c>
      <c r="B89" s="38">
        <f>B82-B72</f>
        <v>0</v>
      </c>
    </row>
    <row r="90" spans="1:3" ht="15.75" hidden="1" thickBot="1" x14ac:dyDescent="0.3">
      <c r="A90" s="9"/>
      <c r="B90" s="9"/>
      <c r="C90" s="9"/>
    </row>
    <row r="91" spans="1:3" hidden="1" x14ac:dyDescent="0.25"/>
    <row r="92" spans="1:3" hidden="1" x14ac:dyDescent="0.25">
      <c r="A92" s="10" t="s">
        <v>53</v>
      </c>
      <c r="B92" s="61">
        <f>$B$3</f>
        <v>0</v>
      </c>
    </row>
    <row r="93" spans="1:3" hidden="1" x14ac:dyDescent="0.25">
      <c r="A93" s="10" t="s">
        <v>54</v>
      </c>
      <c r="B93" s="61">
        <f>$B$4</f>
        <v>0.3</v>
      </c>
    </row>
    <row r="94" spans="1:3" hidden="1" x14ac:dyDescent="0.25"/>
    <row r="95" spans="1:3" hidden="1" x14ac:dyDescent="0.25">
      <c r="A95" s="17" t="s">
        <v>69</v>
      </c>
      <c r="B95" s="35" t="s">
        <v>20</v>
      </c>
    </row>
    <row r="96" spans="1:3" hidden="1" x14ac:dyDescent="0.25">
      <c r="A96" s="19"/>
      <c r="B96" s="20"/>
    </row>
    <row r="97" spans="1:3" hidden="1" x14ac:dyDescent="0.25">
      <c r="A97" s="19" t="s">
        <v>55</v>
      </c>
      <c r="B97" s="33">
        <f>B66</f>
        <v>0</v>
      </c>
    </row>
    <row r="98" spans="1:3" hidden="1" x14ac:dyDescent="0.25">
      <c r="A98" s="19" t="s">
        <v>56</v>
      </c>
      <c r="B98" s="33">
        <f>B67</f>
        <v>0</v>
      </c>
    </row>
    <row r="99" spans="1:3" hidden="1" x14ac:dyDescent="0.25">
      <c r="A99" s="19" t="s">
        <v>57</v>
      </c>
      <c r="B99" s="33">
        <f>B68</f>
        <v>0</v>
      </c>
    </row>
    <row r="100" spans="1:3" hidden="1" x14ac:dyDescent="0.25">
      <c r="A100" s="19" t="s">
        <v>58</v>
      </c>
      <c r="B100" s="33">
        <f>B69</f>
        <v>0</v>
      </c>
    </row>
    <row r="101" spans="1:3" hidden="1" x14ac:dyDescent="0.25">
      <c r="A101" s="19" t="s">
        <v>65</v>
      </c>
      <c r="B101" s="22">
        <f>B80</f>
        <v>0</v>
      </c>
      <c r="C101" s="28" t="e">
        <f>B101/B103</f>
        <v>#DIV/0!</v>
      </c>
    </row>
    <row r="102" spans="1:3" hidden="1" x14ac:dyDescent="0.25">
      <c r="A102" s="23" t="s">
        <v>66</v>
      </c>
      <c r="B102" s="24">
        <f>B81</f>
        <v>0</v>
      </c>
    </row>
    <row r="103" spans="1:3" ht="15.75" hidden="1" thickBot="1" x14ac:dyDescent="0.3">
      <c r="A103" s="36" t="s">
        <v>59</v>
      </c>
      <c r="B103" s="37">
        <f>B102+B97</f>
        <v>0</v>
      </c>
    </row>
    <row r="104" spans="1:3" ht="15.75" hidden="1" thickTop="1" x14ac:dyDescent="0.25"/>
    <row r="105" spans="1:3" hidden="1" x14ac:dyDescent="0.25">
      <c r="A105" s="17" t="s">
        <v>62</v>
      </c>
      <c r="B105" s="18"/>
    </row>
    <row r="106" spans="1:3" hidden="1" x14ac:dyDescent="0.25">
      <c r="A106" s="26"/>
      <c r="B106" s="27"/>
    </row>
    <row r="107" spans="1:3" hidden="1" x14ac:dyDescent="0.25">
      <c r="A107" s="19" t="s">
        <v>63</v>
      </c>
      <c r="B107" s="22">
        <f>B103*B93</f>
        <v>0</v>
      </c>
    </row>
    <row r="108" spans="1:3" hidden="1" x14ac:dyDescent="0.25">
      <c r="A108" s="19" t="s">
        <v>67</v>
      </c>
      <c r="B108" s="22">
        <f>B100*B92</f>
        <v>0</v>
      </c>
    </row>
    <row r="109" spans="1:3" hidden="1" x14ac:dyDescent="0.25">
      <c r="A109" s="19" t="s">
        <v>64</v>
      </c>
      <c r="B109" s="22">
        <f>SUM('Subaward&amp;Exclusion Worksheet'!6:6)</f>
        <v>0</v>
      </c>
    </row>
    <row r="110" spans="1:3" hidden="1" x14ac:dyDescent="0.25">
      <c r="A110" s="19" t="s">
        <v>68</v>
      </c>
      <c r="B110" s="22">
        <f>B109+B108</f>
        <v>0</v>
      </c>
    </row>
    <row r="111" spans="1:3" hidden="1" x14ac:dyDescent="0.25">
      <c r="A111" s="19" t="s">
        <v>65</v>
      </c>
      <c r="B111" s="22">
        <f>IF(B107&lt;(B108+B109),B107,(B108+B109))</f>
        <v>0</v>
      </c>
      <c r="C111" t="str">
        <f>IF(B111=B107,"TFFA","MTDC")</f>
        <v>TFFA</v>
      </c>
    </row>
    <row r="112" spans="1:3" hidden="1" x14ac:dyDescent="0.25">
      <c r="A112" s="23" t="s">
        <v>66</v>
      </c>
      <c r="B112" s="24">
        <f>B111-B109</f>
        <v>0</v>
      </c>
    </row>
    <row r="113" spans="1:3" ht="15.75" hidden="1" thickBot="1" x14ac:dyDescent="0.3">
      <c r="A113" s="36" t="s">
        <v>76</v>
      </c>
      <c r="B113" s="37">
        <f>B112+B97</f>
        <v>0</v>
      </c>
    </row>
    <row r="114" spans="1:3" ht="16.5" hidden="1" thickTop="1" thickBot="1" x14ac:dyDescent="0.3"/>
    <row r="115" spans="1:3" ht="16.5" hidden="1" thickTop="1" thickBot="1" x14ac:dyDescent="0.3">
      <c r="A115" s="29" t="s">
        <v>70</v>
      </c>
      <c r="B115" s="30" t="e">
        <f>+B112/B100</f>
        <v>#DIV/0!</v>
      </c>
    </row>
    <row r="116" spans="1:3" ht="16.5" hidden="1" thickTop="1" thickBot="1" x14ac:dyDescent="0.3">
      <c r="A116" s="31" t="s">
        <v>71</v>
      </c>
      <c r="B116" s="32" t="e">
        <f>+B112/B97</f>
        <v>#DIV/0!</v>
      </c>
    </row>
    <row r="117" spans="1:3" ht="15.75" hidden="1" thickTop="1" x14ac:dyDescent="0.25"/>
    <row r="118" spans="1:3" hidden="1" x14ac:dyDescent="0.25">
      <c r="A118" t="s">
        <v>73</v>
      </c>
      <c r="B118" s="38">
        <f>B111-B80</f>
        <v>0</v>
      </c>
    </row>
    <row r="119" spans="1:3" hidden="1" x14ac:dyDescent="0.25">
      <c r="A119" t="s">
        <v>74</v>
      </c>
      <c r="B119" s="38">
        <f>+B112-B81</f>
        <v>0</v>
      </c>
    </row>
    <row r="120" spans="1:3" hidden="1" x14ac:dyDescent="0.25">
      <c r="A120" t="s">
        <v>75</v>
      </c>
      <c r="B120" s="38">
        <f>B113-B103</f>
        <v>0</v>
      </c>
    </row>
    <row r="121" spans="1:3" ht="15.75" hidden="1" thickBot="1" x14ac:dyDescent="0.3">
      <c r="A121" s="9"/>
      <c r="B121" s="9"/>
      <c r="C121" s="9"/>
    </row>
    <row r="122" spans="1:3" hidden="1" x14ac:dyDescent="0.25"/>
    <row r="123" spans="1:3" hidden="1" x14ac:dyDescent="0.25">
      <c r="A123" s="10" t="s">
        <v>53</v>
      </c>
      <c r="B123" s="61">
        <f>$B$3</f>
        <v>0</v>
      </c>
    </row>
    <row r="124" spans="1:3" hidden="1" x14ac:dyDescent="0.25">
      <c r="A124" s="10" t="s">
        <v>54</v>
      </c>
      <c r="B124" s="61">
        <f>$B$4</f>
        <v>0.3</v>
      </c>
    </row>
    <row r="125" spans="1:3" hidden="1" x14ac:dyDescent="0.25"/>
    <row r="126" spans="1:3" hidden="1" x14ac:dyDescent="0.25">
      <c r="A126" s="17" t="s">
        <v>69</v>
      </c>
      <c r="B126" s="35" t="s">
        <v>21</v>
      </c>
    </row>
    <row r="127" spans="1:3" hidden="1" x14ac:dyDescent="0.25">
      <c r="A127" s="19"/>
      <c r="B127" s="20"/>
    </row>
    <row r="128" spans="1:3" hidden="1" x14ac:dyDescent="0.25">
      <c r="A128" s="19" t="s">
        <v>55</v>
      </c>
      <c r="B128" s="33">
        <f>B97</f>
        <v>0</v>
      </c>
    </row>
    <row r="129" spans="1:3" hidden="1" x14ac:dyDescent="0.25">
      <c r="A129" s="19" t="s">
        <v>56</v>
      </c>
      <c r="B129" s="33">
        <f>B98</f>
        <v>0</v>
      </c>
    </row>
    <row r="130" spans="1:3" hidden="1" x14ac:dyDescent="0.25">
      <c r="A130" s="19" t="s">
        <v>57</v>
      </c>
      <c r="B130" s="33">
        <f>B99</f>
        <v>0</v>
      </c>
    </row>
    <row r="131" spans="1:3" hidden="1" x14ac:dyDescent="0.25">
      <c r="A131" s="19" t="s">
        <v>58</v>
      </c>
      <c r="B131" s="33">
        <f>B100</f>
        <v>0</v>
      </c>
    </row>
    <row r="132" spans="1:3" hidden="1" x14ac:dyDescent="0.25">
      <c r="A132" s="19" t="s">
        <v>65</v>
      </c>
      <c r="B132" s="22">
        <f>B111</f>
        <v>0</v>
      </c>
      <c r="C132" s="28" t="e">
        <f>B132/B134</f>
        <v>#DIV/0!</v>
      </c>
    </row>
    <row r="133" spans="1:3" hidden="1" x14ac:dyDescent="0.25">
      <c r="A133" s="23" t="s">
        <v>66</v>
      </c>
      <c r="B133" s="24">
        <f>B112</f>
        <v>0</v>
      </c>
    </row>
    <row r="134" spans="1:3" ht="15.75" hidden="1" thickBot="1" x14ac:dyDescent="0.3">
      <c r="A134" s="36" t="s">
        <v>59</v>
      </c>
      <c r="B134" s="37">
        <f>B133+B128</f>
        <v>0</v>
      </c>
    </row>
    <row r="135" spans="1:3" ht="15.75" hidden="1" thickTop="1" x14ac:dyDescent="0.25"/>
    <row r="136" spans="1:3" hidden="1" x14ac:dyDescent="0.25">
      <c r="A136" s="17" t="s">
        <v>62</v>
      </c>
      <c r="B136" s="18"/>
    </row>
    <row r="137" spans="1:3" hidden="1" x14ac:dyDescent="0.25">
      <c r="A137" s="26"/>
      <c r="B137" s="27"/>
    </row>
    <row r="138" spans="1:3" hidden="1" x14ac:dyDescent="0.25">
      <c r="A138" s="19" t="s">
        <v>63</v>
      </c>
      <c r="B138" s="22">
        <f>B134*B124</f>
        <v>0</v>
      </c>
    </row>
    <row r="139" spans="1:3" hidden="1" x14ac:dyDescent="0.25">
      <c r="A139" s="19" t="s">
        <v>67</v>
      </c>
      <c r="B139" s="22">
        <f>B131*B123</f>
        <v>0</v>
      </c>
    </row>
    <row r="140" spans="1:3" hidden="1" x14ac:dyDescent="0.25">
      <c r="A140" s="19" t="s">
        <v>64</v>
      </c>
      <c r="B140" s="22">
        <f>SUM('Subaward&amp;Exclusion Worksheet'!6:6)</f>
        <v>0</v>
      </c>
    </row>
    <row r="141" spans="1:3" hidden="1" x14ac:dyDescent="0.25">
      <c r="A141" s="19" t="s">
        <v>68</v>
      </c>
      <c r="B141" s="22">
        <f>B140+B139</f>
        <v>0</v>
      </c>
    </row>
    <row r="142" spans="1:3" hidden="1" x14ac:dyDescent="0.25">
      <c r="A142" s="19" t="s">
        <v>65</v>
      </c>
      <c r="B142" s="22">
        <f>IF(B138&lt;(B139+B140),B138,(B139+B140))</f>
        <v>0</v>
      </c>
      <c r="C142" t="str">
        <f>IF(B142=B138,"TFFA","MTDC")</f>
        <v>TFFA</v>
      </c>
    </row>
    <row r="143" spans="1:3" hidden="1" x14ac:dyDescent="0.25">
      <c r="A143" s="23" t="s">
        <v>66</v>
      </c>
      <c r="B143" s="24">
        <f>B142-B140</f>
        <v>0</v>
      </c>
    </row>
    <row r="144" spans="1:3" ht="15.75" hidden="1" thickBot="1" x14ac:dyDescent="0.3">
      <c r="A144" s="36" t="s">
        <v>76</v>
      </c>
      <c r="B144" s="37">
        <f>B143+B128</f>
        <v>0</v>
      </c>
    </row>
    <row r="145" spans="1:3" ht="16.5" hidden="1" thickTop="1" thickBot="1" x14ac:dyDescent="0.3"/>
    <row r="146" spans="1:3" ht="16.5" hidden="1" thickTop="1" thickBot="1" x14ac:dyDescent="0.3">
      <c r="A146" s="29" t="s">
        <v>70</v>
      </c>
      <c r="B146" s="30" t="e">
        <f>+B143/B131</f>
        <v>#DIV/0!</v>
      </c>
    </row>
    <row r="147" spans="1:3" ht="16.5" hidden="1" thickTop="1" thickBot="1" x14ac:dyDescent="0.3">
      <c r="A147" s="31" t="s">
        <v>71</v>
      </c>
      <c r="B147" s="32" t="e">
        <f>+B143/B128</f>
        <v>#DIV/0!</v>
      </c>
    </row>
    <row r="148" spans="1:3" ht="15.75" hidden="1" thickTop="1" x14ac:dyDescent="0.25"/>
    <row r="149" spans="1:3" hidden="1" x14ac:dyDescent="0.25">
      <c r="A149" t="s">
        <v>73</v>
      </c>
      <c r="B149" s="38">
        <f>B142-B111</f>
        <v>0</v>
      </c>
    </row>
    <row r="150" spans="1:3" hidden="1" x14ac:dyDescent="0.25">
      <c r="A150" t="s">
        <v>74</v>
      </c>
      <c r="B150" s="38">
        <f>+B143-B112</f>
        <v>0</v>
      </c>
    </row>
    <row r="151" spans="1:3" hidden="1" x14ac:dyDescent="0.25">
      <c r="A151" t="s">
        <v>75</v>
      </c>
      <c r="B151" s="38">
        <f>B144-B134</f>
        <v>0</v>
      </c>
    </row>
    <row r="152" spans="1:3" ht="15.75" hidden="1" thickBot="1" x14ac:dyDescent="0.3">
      <c r="A152" s="9"/>
      <c r="B152" s="9"/>
      <c r="C152" s="9"/>
    </row>
    <row r="153" spans="1:3" hidden="1" x14ac:dyDescent="0.25"/>
    <row r="154" spans="1:3" hidden="1" x14ac:dyDescent="0.25">
      <c r="A154" s="10" t="s">
        <v>53</v>
      </c>
      <c r="B154" s="61">
        <f>$B$3</f>
        <v>0</v>
      </c>
    </row>
    <row r="155" spans="1:3" hidden="1" x14ac:dyDescent="0.25">
      <c r="A155" s="10" t="s">
        <v>54</v>
      </c>
      <c r="B155" s="61">
        <f>$B$4</f>
        <v>0.3</v>
      </c>
    </row>
    <row r="156" spans="1:3" hidden="1" x14ac:dyDescent="0.25"/>
    <row r="157" spans="1:3" hidden="1" x14ac:dyDescent="0.25">
      <c r="A157" s="17" t="s">
        <v>69</v>
      </c>
      <c r="B157" s="35" t="s">
        <v>22</v>
      </c>
    </row>
    <row r="158" spans="1:3" hidden="1" x14ac:dyDescent="0.25">
      <c r="A158" s="19"/>
      <c r="B158" s="20"/>
    </row>
    <row r="159" spans="1:3" hidden="1" x14ac:dyDescent="0.25">
      <c r="A159" s="19" t="s">
        <v>55</v>
      </c>
      <c r="B159" s="33">
        <f>B128</f>
        <v>0</v>
      </c>
    </row>
    <row r="160" spans="1:3" hidden="1" x14ac:dyDescent="0.25">
      <c r="A160" s="19" t="s">
        <v>56</v>
      </c>
      <c r="B160" s="33">
        <f>B129</f>
        <v>0</v>
      </c>
    </row>
    <row r="161" spans="1:3" hidden="1" x14ac:dyDescent="0.25">
      <c r="A161" s="19" t="s">
        <v>57</v>
      </c>
      <c r="B161" s="33">
        <f>B130</f>
        <v>0</v>
      </c>
    </row>
    <row r="162" spans="1:3" hidden="1" x14ac:dyDescent="0.25">
      <c r="A162" s="19" t="s">
        <v>58</v>
      </c>
      <c r="B162" s="33">
        <f>B131</f>
        <v>0</v>
      </c>
    </row>
    <row r="163" spans="1:3" hidden="1" x14ac:dyDescent="0.25">
      <c r="A163" s="19" t="s">
        <v>65</v>
      </c>
      <c r="B163" s="22">
        <f>B142</f>
        <v>0</v>
      </c>
      <c r="C163" s="28" t="e">
        <f>B163/B165</f>
        <v>#DIV/0!</v>
      </c>
    </row>
    <row r="164" spans="1:3" hidden="1" x14ac:dyDescent="0.25">
      <c r="A164" s="23" t="s">
        <v>66</v>
      </c>
      <c r="B164" s="24">
        <f>B143</f>
        <v>0</v>
      </c>
    </row>
    <row r="165" spans="1:3" ht="15.75" hidden="1" thickBot="1" x14ac:dyDescent="0.3">
      <c r="A165" s="36" t="s">
        <v>59</v>
      </c>
      <c r="B165" s="37">
        <f>B164+B159</f>
        <v>0</v>
      </c>
    </row>
    <row r="166" spans="1:3" ht="15.75" hidden="1" thickTop="1" x14ac:dyDescent="0.25"/>
    <row r="167" spans="1:3" hidden="1" x14ac:dyDescent="0.25">
      <c r="A167" s="17" t="s">
        <v>62</v>
      </c>
      <c r="B167" s="18"/>
    </row>
    <row r="168" spans="1:3" hidden="1" x14ac:dyDescent="0.25">
      <c r="A168" s="26"/>
      <c r="B168" s="27"/>
    </row>
    <row r="169" spans="1:3" hidden="1" x14ac:dyDescent="0.25">
      <c r="A169" s="19" t="s">
        <v>63</v>
      </c>
      <c r="B169" s="22">
        <f>B165*B155</f>
        <v>0</v>
      </c>
    </row>
    <row r="170" spans="1:3" hidden="1" x14ac:dyDescent="0.25">
      <c r="A170" s="19" t="s">
        <v>67</v>
      </c>
      <c r="B170" s="22">
        <f>B162*B154</f>
        <v>0</v>
      </c>
    </row>
    <row r="171" spans="1:3" hidden="1" x14ac:dyDescent="0.25">
      <c r="A171" s="19" t="s">
        <v>64</v>
      </c>
      <c r="B171" s="22">
        <f>SUM('Subaward&amp;Exclusion Worksheet'!6:6)</f>
        <v>0</v>
      </c>
    </row>
    <row r="172" spans="1:3" hidden="1" x14ac:dyDescent="0.25">
      <c r="A172" s="19" t="s">
        <v>68</v>
      </c>
      <c r="B172" s="22">
        <f>B171+B170</f>
        <v>0</v>
      </c>
    </row>
    <row r="173" spans="1:3" hidden="1" x14ac:dyDescent="0.25">
      <c r="A173" s="19" t="s">
        <v>65</v>
      </c>
      <c r="B173" s="22">
        <f>IF(B169&lt;(B170+B171),B169,(B170+B171))</f>
        <v>0</v>
      </c>
      <c r="C173" t="str">
        <f>IF(B173=B169,"TFFA","MTDC")</f>
        <v>TFFA</v>
      </c>
    </row>
    <row r="174" spans="1:3" hidden="1" x14ac:dyDescent="0.25">
      <c r="A174" s="23" t="s">
        <v>66</v>
      </c>
      <c r="B174" s="24">
        <f>B173-B171</f>
        <v>0</v>
      </c>
    </row>
    <row r="175" spans="1:3" ht="15.75" hidden="1" thickBot="1" x14ac:dyDescent="0.3">
      <c r="A175" s="36" t="s">
        <v>76</v>
      </c>
      <c r="B175" s="37">
        <f>B174+B159</f>
        <v>0</v>
      </c>
    </row>
    <row r="176" spans="1:3" ht="16.5" hidden="1" thickTop="1" thickBot="1" x14ac:dyDescent="0.3"/>
    <row r="177" spans="1:3" ht="16.5" hidden="1" thickTop="1" thickBot="1" x14ac:dyDescent="0.3">
      <c r="A177" s="29" t="s">
        <v>70</v>
      </c>
      <c r="B177" s="30" t="e">
        <f>+B174/B162</f>
        <v>#DIV/0!</v>
      </c>
    </row>
    <row r="178" spans="1:3" ht="16.5" hidden="1" thickTop="1" thickBot="1" x14ac:dyDescent="0.3">
      <c r="A178" s="31" t="s">
        <v>71</v>
      </c>
      <c r="B178" s="32" t="e">
        <f>+B174/B159</f>
        <v>#DIV/0!</v>
      </c>
    </row>
    <row r="179" spans="1:3" ht="15.75" hidden="1" thickTop="1" x14ac:dyDescent="0.25"/>
    <row r="180" spans="1:3" hidden="1" x14ac:dyDescent="0.25">
      <c r="A180" t="s">
        <v>73</v>
      </c>
      <c r="B180" s="38">
        <f>B173-B142</f>
        <v>0</v>
      </c>
    </row>
    <row r="181" spans="1:3" hidden="1" x14ac:dyDescent="0.25">
      <c r="A181" t="s">
        <v>74</v>
      </c>
      <c r="B181" s="38">
        <f>+B174-B143</f>
        <v>0</v>
      </c>
    </row>
    <row r="182" spans="1:3" hidden="1" x14ac:dyDescent="0.25">
      <c r="A182" t="s">
        <v>75</v>
      </c>
      <c r="B182" s="38">
        <f>B175-B165</f>
        <v>0</v>
      </c>
    </row>
    <row r="183" spans="1:3" ht="15.75" hidden="1" thickBot="1" x14ac:dyDescent="0.3">
      <c r="A183" s="9"/>
      <c r="B183" s="9"/>
      <c r="C183" s="9"/>
    </row>
    <row r="184" spans="1:3" hidden="1" x14ac:dyDescent="0.25"/>
    <row r="185" spans="1:3" hidden="1" x14ac:dyDescent="0.25">
      <c r="A185" s="10" t="s">
        <v>53</v>
      </c>
      <c r="B185" s="61">
        <f>$B$3</f>
        <v>0</v>
      </c>
    </row>
    <row r="186" spans="1:3" hidden="1" x14ac:dyDescent="0.25">
      <c r="A186" s="10" t="s">
        <v>54</v>
      </c>
      <c r="B186" s="61">
        <f>$B$4</f>
        <v>0.3</v>
      </c>
    </row>
    <row r="187" spans="1:3" hidden="1" x14ac:dyDescent="0.25"/>
    <row r="188" spans="1:3" hidden="1" x14ac:dyDescent="0.25">
      <c r="A188" s="17" t="s">
        <v>69</v>
      </c>
      <c r="B188" s="35" t="s">
        <v>23</v>
      </c>
    </row>
    <row r="189" spans="1:3" hidden="1" x14ac:dyDescent="0.25">
      <c r="A189" s="19"/>
      <c r="B189" s="20"/>
    </row>
    <row r="190" spans="1:3" hidden="1" x14ac:dyDescent="0.25">
      <c r="A190" s="19" t="s">
        <v>55</v>
      </c>
      <c r="B190" s="33">
        <f>B159</f>
        <v>0</v>
      </c>
    </row>
    <row r="191" spans="1:3" hidden="1" x14ac:dyDescent="0.25">
      <c r="A191" s="19" t="s">
        <v>56</v>
      </c>
      <c r="B191" s="33">
        <f>B160</f>
        <v>0</v>
      </c>
    </row>
    <row r="192" spans="1:3" hidden="1" x14ac:dyDescent="0.25">
      <c r="A192" s="19" t="s">
        <v>57</v>
      </c>
      <c r="B192" s="33">
        <f>B161</f>
        <v>0</v>
      </c>
    </row>
    <row r="193" spans="1:3" hidden="1" x14ac:dyDescent="0.25">
      <c r="A193" s="19" t="s">
        <v>58</v>
      </c>
      <c r="B193" s="33">
        <f>B162</f>
        <v>0</v>
      </c>
    </row>
    <row r="194" spans="1:3" hidden="1" x14ac:dyDescent="0.25">
      <c r="A194" s="19" t="s">
        <v>65</v>
      </c>
      <c r="B194" s="22">
        <f>B173</f>
        <v>0</v>
      </c>
      <c r="C194" s="28" t="e">
        <f>B194/B196</f>
        <v>#DIV/0!</v>
      </c>
    </row>
    <row r="195" spans="1:3" hidden="1" x14ac:dyDescent="0.25">
      <c r="A195" s="23" t="s">
        <v>66</v>
      </c>
      <c r="B195" s="24">
        <f>B174</f>
        <v>0</v>
      </c>
    </row>
    <row r="196" spans="1:3" ht="15.75" hidden="1" thickBot="1" x14ac:dyDescent="0.3">
      <c r="A196" s="36" t="s">
        <v>59</v>
      </c>
      <c r="B196" s="37">
        <f>B195+B190</f>
        <v>0</v>
      </c>
    </row>
    <row r="197" spans="1:3" ht="15.75" hidden="1" thickTop="1" x14ac:dyDescent="0.25"/>
    <row r="198" spans="1:3" hidden="1" x14ac:dyDescent="0.25">
      <c r="A198" s="17" t="s">
        <v>62</v>
      </c>
      <c r="B198" s="18"/>
    </row>
    <row r="199" spans="1:3" hidden="1" x14ac:dyDescent="0.25">
      <c r="A199" s="26"/>
      <c r="B199" s="27"/>
    </row>
    <row r="200" spans="1:3" hidden="1" x14ac:dyDescent="0.25">
      <c r="A200" s="19" t="s">
        <v>63</v>
      </c>
      <c r="B200" s="22">
        <f>B196*B186</f>
        <v>0</v>
      </c>
    </row>
    <row r="201" spans="1:3" hidden="1" x14ac:dyDescent="0.25">
      <c r="A201" s="19" t="s">
        <v>67</v>
      </c>
      <c r="B201" s="22">
        <f>B193*B185</f>
        <v>0</v>
      </c>
    </row>
    <row r="202" spans="1:3" hidden="1" x14ac:dyDescent="0.25">
      <c r="A202" s="19" t="s">
        <v>64</v>
      </c>
      <c r="B202" s="22">
        <f>SUM('Subaward&amp;Exclusion Worksheet'!6:6)</f>
        <v>0</v>
      </c>
    </row>
    <row r="203" spans="1:3" hidden="1" x14ac:dyDescent="0.25">
      <c r="A203" s="19" t="s">
        <v>68</v>
      </c>
      <c r="B203" s="22">
        <f>B202+B201</f>
        <v>0</v>
      </c>
    </row>
    <row r="204" spans="1:3" hidden="1" x14ac:dyDescent="0.25">
      <c r="A204" s="19" t="s">
        <v>65</v>
      </c>
      <c r="B204" s="22">
        <f>IF(B200&lt;(B201+B202),B200,(B201+B202))</f>
        <v>0</v>
      </c>
      <c r="C204" t="str">
        <f>IF(B204=B200,"TFFA","MTDC")</f>
        <v>TFFA</v>
      </c>
    </row>
    <row r="205" spans="1:3" hidden="1" x14ac:dyDescent="0.25">
      <c r="A205" s="23" t="s">
        <v>66</v>
      </c>
      <c r="B205" s="24">
        <f>B204-B202</f>
        <v>0</v>
      </c>
    </row>
    <row r="206" spans="1:3" ht="15.75" hidden="1" thickBot="1" x14ac:dyDescent="0.3">
      <c r="A206" s="36" t="s">
        <v>76</v>
      </c>
      <c r="B206" s="37">
        <f>B205+B190</f>
        <v>0</v>
      </c>
    </row>
    <row r="207" spans="1:3" ht="16.5" hidden="1" thickTop="1" thickBot="1" x14ac:dyDescent="0.3"/>
    <row r="208" spans="1:3" ht="16.5" hidden="1" thickTop="1" thickBot="1" x14ac:dyDescent="0.3">
      <c r="A208" s="29" t="s">
        <v>70</v>
      </c>
      <c r="B208" s="30" t="e">
        <f>+B205/B193</f>
        <v>#DIV/0!</v>
      </c>
    </row>
    <row r="209" spans="1:3" ht="16.5" hidden="1" thickTop="1" thickBot="1" x14ac:dyDescent="0.3">
      <c r="A209" s="31" t="s">
        <v>71</v>
      </c>
      <c r="B209" s="32" t="e">
        <f>+B205/B190</f>
        <v>#DIV/0!</v>
      </c>
    </row>
    <row r="210" spans="1:3" ht="15.75" hidden="1" thickTop="1" x14ac:dyDescent="0.25"/>
    <row r="211" spans="1:3" hidden="1" x14ac:dyDescent="0.25">
      <c r="A211" t="s">
        <v>73</v>
      </c>
      <c r="B211" s="38">
        <f>B204-B173</f>
        <v>0</v>
      </c>
    </row>
    <row r="212" spans="1:3" hidden="1" x14ac:dyDescent="0.25">
      <c r="A212" t="s">
        <v>74</v>
      </c>
      <c r="B212" s="38">
        <f>+B205-B174</f>
        <v>0</v>
      </c>
    </row>
    <row r="213" spans="1:3" hidden="1" x14ac:dyDescent="0.25">
      <c r="A213" t="s">
        <v>75</v>
      </c>
      <c r="B213" s="38">
        <f>B206-B196</f>
        <v>0</v>
      </c>
    </row>
    <row r="214" spans="1:3" ht="15.75" hidden="1" thickBot="1" x14ac:dyDescent="0.3">
      <c r="A214" s="9"/>
      <c r="B214" s="9"/>
      <c r="C214" s="9"/>
    </row>
    <row r="215" spans="1:3" hidden="1" x14ac:dyDescent="0.25"/>
    <row r="216" spans="1:3" hidden="1" x14ac:dyDescent="0.25">
      <c r="A216" s="10" t="s">
        <v>53</v>
      </c>
      <c r="B216" s="61">
        <f>$B$3</f>
        <v>0</v>
      </c>
    </row>
    <row r="217" spans="1:3" hidden="1" x14ac:dyDescent="0.25">
      <c r="A217" s="10" t="s">
        <v>54</v>
      </c>
      <c r="B217" s="61">
        <f>$B$4</f>
        <v>0.3</v>
      </c>
    </row>
    <row r="218" spans="1:3" hidden="1" x14ac:dyDescent="0.25"/>
    <row r="219" spans="1:3" hidden="1" x14ac:dyDescent="0.25">
      <c r="A219" s="17" t="s">
        <v>69</v>
      </c>
      <c r="B219" s="35" t="s">
        <v>24</v>
      </c>
    </row>
    <row r="220" spans="1:3" hidden="1" x14ac:dyDescent="0.25">
      <c r="A220" s="19"/>
      <c r="B220" s="20"/>
    </row>
    <row r="221" spans="1:3" hidden="1" x14ac:dyDescent="0.25">
      <c r="A221" s="19" t="s">
        <v>55</v>
      </c>
      <c r="B221" s="33">
        <f>B190</f>
        <v>0</v>
      </c>
    </row>
    <row r="222" spans="1:3" hidden="1" x14ac:dyDescent="0.25">
      <c r="A222" s="19" t="s">
        <v>56</v>
      </c>
      <c r="B222" s="33">
        <f>B191</f>
        <v>0</v>
      </c>
    </row>
    <row r="223" spans="1:3" hidden="1" x14ac:dyDescent="0.25">
      <c r="A223" s="19" t="s">
        <v>57</v>
      </c>
      <c r="B223" s="33">
        <f>B192</f>
        <v>0</v>
      </c>
    </row>
    <row r="224" spans="1:3" hidden="1" x14ac:dyDescent="0.25">
      <c r="A224" s="19" t="s">
        <v>58</v>
      </c>
      <c r="B224" s="33">
        <f>B193</f>
        <v>0</v>
      </c>
    </row>
    <row r="225" spans="1:3" hidden="1" x14ac:dyDescent="0.25">
      <c r="A225" s="19" t="s">
        <v>65</v>
      </c>
      <c r="B225" s="22">
        <f>B204</f>
        <v>0</v>
      </c>
      <c r="C225" s="28" t="e">
        <f>B225/B227</f>
        <v>#DIV/0!</v>
      </c>
    </row>
    <row r="226" spans="1:3" hidden="1" x14ac:dyDescent="0.25">
      <c r="A226" s="23" t="s">
        <v>66</v>
      </c>
      <c r="B226" s="24">
        <f>B205</f>
        <v>0</v>
      </c>
    </row>
    <row r="227" spans="1:3" ht="15.75" hidden="1" thickBot="1" x14ac:dyDescent="0.3">
      <c r="A227" s="36" t="s">
        <v>59</v>
      </c>
      <c r="B227" s="37">
        <f>B226+B221</f>
        <v>0</v>
      </c>
    </row>
    <row r="228" spans="1:3" ht="15.75" hidden="1" thickTop="1" x14ac:dyDescent="0.25"/>
    <row r="229" spans="1:3" hidden="1" x14ac:dyDescent="0.25">
      <c r="A229" s="17" t="s">
        <v>62</v>
      </c>
      <c r="B229" s="18"/>
    </row>
    <row r="230" spans="1:3" hidden="1" x14ac:dyDescent="0.25">
      <c r="A230" s="26"/>
      <c r="B230" s="27"/>
    </row>
    <row r="231" spans="1:3" hidden="1" x14ac:dyDescent="0.25">
      <c r="A231" s="19" t="s">
        <v>63</v>
      </c>
      <c r="B231" s="22">
        <f>B227*B217</f>
        <v>0</v>
      </c>
    </row>
    <row r="232" spans="1:3" hidden="1" x14ac:dyDescent="0.25">
      <c r="A232" s="19" t="s">
        <v>67</v>
      </c>
      <c r="B232" s="22">
        <f>B224*B216</f>
        <v>0</v>
      </c>
    </row>
    <row r="233" spans="1:3" hidden="1" x14ac:dyDescent="0.25">
      <c r="A233" s="19" t="s">
        <v>64</v>
      </c>
      <c r="B233" s="22">
        <f>SUM('Subaward&amp;Exclusion Worksheet'!6:6)</f>
        <v>0</v>
      </c>
    </row>
    <row r="234" spans="1:3" hidden="1" x14ac:dyDescent="0.25">
      <c r="A234" s="19" t="s">
        <v>68</v>
      </c>
      <c r="B234" s="22">
        <f>B233+B232</f>
        <v>0</v>
      </c>
    </row>
    <row r="235" spans="1:3" hidden="1" x14ac:dyDescent="0.25">
      <c r="A235" s="19" t="s">
        <v>65</v>
      </c>
      <c r="B235" s="22">
        <f>IF(B231&lt;(B232+B233),B231,(B232+B233))</f>
        <v>0</v>
      </c>
      <c r="C235" t="str">
        <f>IF(B235=B231,"TFFA","MTDC")</f>
        <v>TFFA</v>
      </c>
    </row>
    <row r="236" spans="1:3" hidden="1" x14ac:dyDescent="0.25">
      <c r="A236" s="23" t="s">
        <v>66</v>
      </c>
      <c r="B236" s="24">
        <f>B235-B233</f>
        <v>0</v>
      </c>
    </row>
    <row r="237" spans="1:3" ht="15.75" hidden="1" thickBot="1" x14ac:dyDescent="0.3">
      <c r="A237" s="36" t="s">
        <v>76</v>
      </c>
      <c r="B237" s="37">
        <f>B236+B221</f>
        <v>0</v>
      </c>
    </row>
    <row r="238" spans="1:3" ht="16.5" hidden="1" thickTop="1" thickBot="1" x14ac:dyDescent="0.3"/>
    <row r="239" spans="1:3" ht="16.5" hidden="1" thickTop="1" thickBot="1" x14ac:dyDescent="0.3">
      <c r="A239" s="29" t="s">
        <v>70</v>
      </c>
      <c r="B239" s="30" t="e">
        <f>+B236/B224</f>
        <v>#DIV/0!</v>
      </c>
    </row>
    <row r="240" spans="1:3" ht="16.5" hidden="1" thickTop="1" thickBot="1" x14ac:dyDescent="0.3">
      <c r="A240" s="31" t="s">
        <v>71</v>
      </c>
      <c r="B240" s="32" t="e">
        <f>+B236/B221</f>
        <v>#DIV/0!</v>
      </c>
    </row>
    <row r="241" spans="1:3" ht="15.75" hidden="1" thickTop="1" x14ac:dyDescent="0.25"/>
    <row r="242" spans="1:3" hidden="1" x14ac:dyDescent="0.25">
      <c r="A242" t="s">
        <v>73</v>
      </c>
      <c r="B242" s="38">
        <f>B235-B204</f>
        <v>0</v>
      </c>
    </row>
    <row r="243" spans="1:3" hidden="1" x14ac:dyDescent="0.25">
      <c r="A243" t="s">
        <v>74</v>
      </c>
      <c r="B243" s="38">
        <f>+B236-B205</f>
        <v>0</v>
      </c>
    </row>
    <row r="244" spans="1:3" hidden="1" x14ac:dyDescent="0.25">
      <c r="A244" t="s">
        <v>75</v>
      </c>
      <c r="B244" s="38">
        <f>B237-B227</f>
        <v>0</v>
      </c>
    </row>
    <row r="245" spans="1:3" ht="15.75" hidden="1" thickBot="1" x14ac:dyDescent="0.3">
      <c r="A245" s="9"/>
      <c r="B245" s="9"/>
      <c r="C245" s="9"/>
    </row>
    <row r="246" spans="1:3" hidden="1" x14ac:dyDescent="0.25"/>
    <row r="247" spans="1:3" hidden="1" x14ac:dyDescent="0.25">
      <c r="A247" s="10" t="s">
        <v>53</v>
      </c>
      <c r="B247" s="61">
        <f>$B$3</f>
        <v>0</v>
      </c>
    </row>
    <row r="248" spans="1:3" hidden="1" x14ac:dyDescent="0.25">
      <c r="A248" s="10" t="s">
        <v>54</v>
      </c>
      <c r="B248" s="61">
        <f>$B$4</f>
        <v>0.3</v>
      </c>
    </row>
    <row r="249" spans="1:3" hidden="1" x14ac:dyDescent="0.25"/>
    <row r="250" spans="1:3" hidden="1" x14ac:dyDescent="0.25">
      <c r="A250" s="17" t="s">
        <v>69</v>
      </c>
      <c r="B250" s="35" t="s">
        <v>25</v>
      </c>
    </row>
    <row r="251" spans="1:3" hidden="1" x14ac:dyDescent="0.25">
      <c r="A251" s="19"/>
      <c r="B251" s="20"/>
    </row>
    <row r="252" spans="1:3" hidden="1" x14ac:dyDescent="0.25">
      <c r="A252" s="19" t="s">
        <v>55</v>
      </c>
      <c r="B252" s="33">
        <f>B221</f>
        <v>0</v>
      </c>
    </row>
    <row r="253" spans="1:3" hidden="1" x14ac:dyDescent="0.25">
      <c r="A253" s="19" t="s">
        <v>56</v>
      </c>
      <c r="B253" s="33">
        <f>B222</f>
        <v>0</v>
      </c>
    </row>
    <row r="254" spans="1:3" hidden="1" x14ac:dyDescent="0.25">
      <c r="A254" s="19" t="s">
        <v>57</v>
      </c>
      <c r="B254" s="33">
        <f>B223</f>
        <v>0</v>
      </c>
    </row>
    <row r="255" spans="1:3" hidden="1" x14ac:dyDescent="0.25">
      <c r="A255" s="19" t="s">
        <v>58</v>
      </c>
      <c r="B255" s="33">
        <f>B224</f>
        <v>0</v>
      </c>
    </row>
    <row r="256" spans="1:3" hidden="1" x14ac:dyDescent="0.25">
      <c r="A256" s="19" t="s">
        <v>65</v>
      </c>
      <c r="B256" s="22">
        <f>B235</f>
        <v>0</v>
      </c>
      <c r="C256" s="28" t="e">
        <f>B256/B258</f>
        <v>#DIV/0!</v>
      </c>
    </row>
    <row r="257" spans="1:3" hidden="1" x14ac:dyDescent="0.25">
      <c r="A257" s="23" t="s">
        <v>66</v>
      </c>
      <c r="B257" s="24">
        <f>B236</f>
        <v>0</v>
      </c>
    </row>
    <row r="258" spans="1:3" ht="15.75" hidden="1" thickBot="1" x14ac:dyDescent="0.3">
      <c r="A258" s="36" t="s">
        <v>59</v>
      </c>
      <c r="B258" s="37">
        <f>B257+B252</f>
        <v>0</v>
      </c>
    </row>
    <row r="259" spans="1:3" ht="15.75" hidden="1" thickTop="1" x14ac:dyDescent="0.25"/>
    <row r="260" spans="1:3" hidden="1" x14ac:dyDescent="0.25">
      <c r="A260" s="17" t="s">
        <v>62</v>
      </c>
      <c r="B260" s="18"/>
    </row>
    <row r="261" spans="1:3" hidden="1" x14ac:dyDescent="0.25">
      <c r="A261" s="26"/>
      <c r="B261" s="27"/>
    </row>
    <row r="262" spans="1:3" hidden="1" x14ac:dyDescent="0.25">
      <c r="A262" s="19" t="s">
        <v>63</v>
      </c>
      <c r="B262" s="22">
        <f>B258*B248</f>
        <v>0</v>
      </c>
    </row>
    <row r="263" spans="1:3" hidden="1" x14ac:dyDescent="0.25">
      <c r="A263" s="19" t="s">
        <v>67</v>
      </c>
      <c r="B263" s="22">
        <f>B255*B247</f>
        <v>0</v>
      </c>
    </row>
    <row r="264" spans="1:3" hidden="1" x14ac:dyDescent="0.25">
      <c r="A264" s="19" t="s">
        <v>64</v>
      </c>
      <c r="B264" s="22">
        <f>SUM('Subaward&amp;Exclusion Worksheet'!6:6)</f>
        <v>0</v>
      </c>
    </row>
    <row r="265" spans="1:3" hidden="1" x14ac:dyDescent="0.25">
      <c r="A265" s="19" t="s">
        <v>68</v>
      </c>
      <c r="B265" s="22">
        <f>B264+B263</f>
        <v>0</v>
      </c>
    </row>
    <row r="266" spans="1:3" hidden="1" x14ac:dyDescent="0.25">
      <c r="A266" s="19" t="s">
        <v>65</v>
      </c>
      <c r="B266" s="22">
        <f>IF(B262&lt;(B263+B264),B262,(B263+B264))</f>
        <v>0</v>
      </c>
      <c r="C266" t="str">
        <f>IF(B266=B262,"TFFA","MTDC")</f>
        <v>TFFA</v>
      </c>
    </row>
    <row r="267" spans="1:3" hidden="1" x14ac:dyDescent="0.25">
      <c r="A267" s="23" t="s">
        <v>66</v>
      </c>
      <c r="B267" s="24">
        <f>B266-B264</f>
        <v>0</v>
      </c>
    </row>
    <row r="268" spans="1:3" ht="15.75" hidden="1" thickBot="1" x14ac:dyDescent="0.3">
      <c r="A268" s="36" t="s">
        <v>76</v>
      </c>
      <c r="B268" s="37">
        <f>B267+B252</f>
        <v>0</v>
      </c>
    </row>
    <row r="269" spans="1:3" ht="16.5" hidden="1" thickTop="1" thickBot="1" x14ac:dyDescent="0.3"/>
    <row r="270" spans="1:3" ht="16.5" hidden="1" thickTop="1" thickBot="1" x14ac:dyDescent="0.3">
      <c r="A270" s="29" t="s">
        <v>70</v>
      </c>
      <c r="B270" s="30" t="e">
        <f>+B267/B255</f>
        <v>#DIV/0!</v>
      </c>
    </row>
    <row r="271" spans="1:3" ht="16.5" hidden="1" thickTop="1" thickBot="1" x14ac:dyDescent="0.3">
      <c r="A271" s="31" t="s">
        <v>71</v>
      </c>
      <c r="B271" s="32" t="e">
        <f>+B267/B252</f>
        <v>#DIV/0!</v>
      </c>
    </row>
    <row r="272" spans="1:3" ht="15.75" hidden="1" thickTop="1" x14ac:dyDescent="0.25"/>
    <row r="273" spans="1:3" hidden="1" x14ac:dyDescent="0.25">
      <c r="A273" t="s">
        <v>73</v>
      </c>
      <c r="B273" s="38">
        <f>B266-B235</f>
        <v>0</v>
      </c>
    </row>
    <row r="274" spans="1:3" hidden="1" x14ac:dyDescent="0.25">
      <c r="A274" t="s">
        <v>74</v>
      </c>
      <c r="B274" s="38">
        <f>+B267-B236</f>
        <v>0</v>
      </c>
    </row>
    <row r="275" spans="1:3" hidden="1" x14ac:dyDescent="0.25">
      <c r="A275" t="s">
        <v>75</v>
      </c>
      <c r="B275" s="38">
        <f>B268-B258</f>
        <v>0</v>
      </c>
    </row>
    <row r="276" spans="1:3" ht="15.75" hidden="1" thickBot="1" x14ac:dyDescent="0.3">
      <c r="A276" s="9"/>
      <c r="B276" s="9"/>
      <c r="C276" s="9"/>
    </row>
    <row r="277" spans="1:3" hidden="1" x14ac:dyDescent="0.25"/>
    <row r="278" spans="1:3" hidden="1" x14ac:dyDescent="0.25">
      <c r="A278" s="10" t="s">
        <v>53</v>
      </c>
      <c r="B278" s="61">
        <f>$B$3</f>
        <v>0</v>
      </c>
    </row>
    <row r="279" spans="1:3" hidden="1" x14ac:dyDescent="0.25">
      <c r="A279" s="10" t="s">
        <v>54</v>
      </c>
      <c r="B279" s="61">
        <f>$B$4</f>
        <v>0.3</v>
      </c>
    </row>
    <row r="280" spans="1:3" hidden="1" x14ac:dyDescent="0.25"/>
    <row r="281" spans="1:3" hidden="1" x14ac:dyDescent="0.25">
      <c r="A281" s="17" t="s">
        <v>69</v>
      </c>
      <c r="B281" s="35" t="s">
        <v>26</v>
      </c>
    </row>
    <row r="282" spans="1:3" hidden="1" x14ac:dyDescent="0.25">
      <c r="A282" s="19"/>
      <c r="B282" s="20"/>
    </row>
    <row r="283" spans="1:3" hidden="1" x14ac:dyDescent="0.25">
      <c r="A283" s="19" t="s">
        <v>55</v>
      </c>
      <c r="B283" s="33">
        <f>B252</f>
        <v>0</v>
      </c>
    </row>
    <row r="284" spans="1:3" hidden="1" x14ac:dyDescent="0.25">
      <c r="A284" s="19" t="s">
        <v>56</v>
      </c>
      <c r="B284" s="33">
        <f>B253</f>
        <v>0</v>
      </c>
    </row>
    <row r="285" spans="1:3" hidden="1" x14ac:dyDescent="0.25">
      <c r="A285" s="19" t="s">
        <v>57</v>
      </c>
      <c r="B285" s="33">
        <f>B254</f>
        <v>0</v>
      </c>
    </row>
    <row r="286" spans="1:3" hidden="1" x14ac:dyDescent="0.25">
      <c r="A286" s="19" t="s">
        <v>58</v>
      </c>
      <c r="B286" s="33">
        <f>B255</f>
        <v>0</v>
      </c>
    </row>
    <row r="287" spans="1:3" hidden="1" x14ac:dyDescent="0.25">
      <c r="A287" s="19" t="s">
        <v>65</v>
      </c>
      <c r="B287" s="22">
        <f>B266</f>
        <v>0</v>
      </c>
      <c r="C287" s="28" t="e">
        <f>B287/B289</f>
        <v>#DIV/0!</v>
      </c>
    </row>
    <row r="288" spans="1:3" hidden="1" x14ac:dyDescent="0.25">
      <c r="A288" s="23" t="s">
        <v>66</v>
      </c>
      <c r="B288" s="24">
        <f>B267</f>
        <v>0</v>
      </c>
    </row>
    <row r="289" spans="1:3" ht="15.75" hidden="1" thickBot="1" x14ac:dyDescent="0.3">
      <c r="A289" s="36" t="s">
        <v>59</v>
      </c>
      <c r="B289" s="37">
        <f>B288+B283</f>
        <v>0</v>
      </c>
    </row>
    <row r="290" spans="1:3" ht="15.75" hidden="1" thickTop="1" x14ac:dyDescent="0.25"/>
    <row r="291" spans="1:3" hidden="1" x14ac:dyDescent="0.25">
      <c r="A291" s="17" t="s">
        <v>62</v>
      </c>
      <c r="B291" s="18"/>
    </row>
    <row r="292" spans="1:3" hidden="1" x14ac:dyDescent="0.25">
      <c r="A292" s="26"/>
      <c r="B292" s="27"/>
    </row>
    <row r="293" spans="1:3" hidden="1" x14ac:dyDescent="0.25">
      <c r="A293" s="19" t="s">
        <v>63</v>
      </c>
      <c r="B293" s="22">
        <f>B289*B279</f>
        <v>0</v>
      </c>
    </row>
    <row r="294" spans="1:3" hidden="1" x14ac:dyDescent="0.25">
      <c r="A294" s="19" t="s">
        <v>67</v>
      </c>
      <c r="B294" s="22">
        <f>B286*B278</f>
        <v>0</v>
      </c>
    </row>
    <row r="295" spans="1:3" hidden="1" x14ac:dyDescent="0.25">
      <c r="A295" s="19" t="s">
        <v>64</v>
      </c>
      <c r="B295" s="22">
        <f>SUM('Subaward&amp;Exclusion Worksheet'!6:6)</f>
        <v>0</v>
      </c>
    </row>
    <row r="296" spans="1:3" hidden="1" x14ac:dyDescent="0.25">
      <c r="A296" s="19" t="s">
        <v>68</v>
      </c>
      <c r="B296" s="22">
        <f>B295+B294</f>
        <v>0</v>
      </c>
    </row>
    <row r="297" spans="1:3" hidden="1" x14ac:dyDescent="0.25">
      <c r="A297" s="19" t="s">
        <v>65</v>
      </c>
      <c r="B297" s="22">
        <f>IF(B293&lt;(B294+B295),B293,(B294+B295))</f>
        <v>0</v>
      </c>
      <c r="C297" t="str">
        <f>IF(B297=B293,"TFFA","MTDC")</f>
        <v>TFFA</v>
      </c>
    </row>
    <row r="298" spans="1:3" hidden="1" x14ac:dyDescent="0.25">
      <c r="A298" s="23" t="s">
        <v>66</v>
      </c>
      <c r="B298" s="24">
        <f>B297-B295</f>
        <v>0</v>
      </c>
    </row>
    <row r="299" spans="1:3" ht="15.75" hidden="1" thickBot="1" x14ac:dyDescent="0.3">
      <c r="A299" s="36" t="s">
        <v>76</v>
      </c>
      <c r="B299" s="37">
        <f>B298+B283</f>
        <v>0</v>
      </c>
    </row>
    <row r="300" spans="1:3" ht="16.5" hidden="1" thickTop="1" thickBot="1" x14ac:dyDescent="0.3"/>
    <row r="301" spans="1:3" ht="16.5" hidden="1" thickTop="1" thickBot="1" x14ac:dyDescent="0.3">
      <c r="A301" s="29" t="s">
        <v>70</v>
      </c>
      <c r="B301" s="30" t="e">
        <f>+B298/B286</f>
        <v>#DIV/0!</v>
      </c>
    </row>
    <row r="302" spans="1:3" ht="16.5" hidden="1" thickTop="1" thickBot="1" x14ac:dyDescent="0.3">
      <c r="A302" s="31" t="s">
        <v>71</v>
      </c>
      <c r="B302" s="32" t="e">
        <f>+B298/B283</f>
        <v>#DIV/0!</v>
      </c>
    </row>
    <row r="303" spans="1:3" ht="15.75" hidden="1" thickTop="1" x14ac:dyDescent="0.25"/>
    <row r="304" spans="1:3" hidden="1" x14ac:dyDescent="0.25">
      <c r="A304" t="s">
        <v>73</v>
      </c>
      <c r="B304" s="38">
        <f>B297-B266</f>
        <v>0</v>
      </c>
    </row>
    <row r="305" spans="1:3" hidden="1" x14ac:dyDescent="0.25">
      <c r="A305" t="s">
        <v>74</v>
      </c>
      <c r="B305" s="38">
        <f>+B298-B267</f>
        <v>0</v>
      </c>
    </row>
    <row r="306" spans="1:3" hidden="1" x14ac:dyDescent="0.25">
      <c r="A306" t="s">
        <v>75</v>
      </c>
      <c r="B306" s="38">
        <f>B299-B289</f>
        <v>0</v>
      </c>
    </row>
    <row r="307" spans="1:3" ht="15.75" hidden="1" thickBot="1" x14ac:dyDescent="0.3">
      <c r="A307" s="9"/>
      <c r="B307" s="9"/>
      <c r="C307" s="9"/>
    </row>
    <row r="308" spans="1:3" hidden="1" x14ac:dyDescent="0.25"/>
    <row r="309" spans="1:3" hidden="1" x14ac:dyDescent="0.25">
      <c r="A309" s="10" t="s">
        <v>53</v>
      </c>
      <c r="B309" s="61">
        <f>$B$3</f>
        <v>0</v>
      </c>
    </row>
    <row r="310" spans="1:3" hidden="1" x14ac:dyDescent="0.25">
      <c r="A310" s="10" t="s">
        <v>54</v>
      </c>
      <c r="B310" s="61">
        <f>$B$4</f>
        <v>0.3</v>
      </c>
    </row>
    <row r="311" spans="1:3" hidden="1" x14ac:dyDescent="0.25"/>
    <row r="312" spans="1:3" hidden="1" x14ac:dyDescent="0.25">
      <c r="A312" s="17" t="s">
        <v>69</v>
      </c>
      <c r="B312" s="35" t="s">
        <v>27</v>
      </c>
    </row>
    <row r="313" spans="1:3" hidden="1" x14ac:dyDescent="0.25">
      <c r="A313" s="19"/>
      <c r="B313" s="20"/>
    </row>
    <row r="314" spans="1:3" hidden="1" x14ac:dyDescent="0.25">
      <c r="A314" s="19" t="s">
        <v>55</v>
      </c>
      <c r="B314" s="33">
        <f>B283</f>
        <v>0</v>
      </c>
    </row>
    <row r="315" spans="1:3" hidden="1" x14ac:dyDescent="0.25">
      <c r="A315" s="19" t="s">
        <v>56</v>
      </c>
      <c r="B315" s="33">
        <f>B284</f>
        <v>0</v>
      </c>
    </row>
    <row r="316" spans="1:3" hidden="1" x14ac:dyDescent="0.25">
      <c r="A316" s="19" t="s">
        <v>57</v>
      </c>
      <c r="B316" s="33">
        <f>B285</f>
        <v>0</v>
      </c>
    </row>
    <row r="317" spans="1:3" hidden="1" x14ac:dyDescent="0.25">
      <c r="A317" s="19" t="s">
        <v>58</v>
      </c>
      <c r="B317" s="33">
        <f>B286</f>
        <v>0</v>
      </c>
    </row>
    <row r="318" spans="1:3" hidden="1" x14ac:dyDescent="0.25">
      <c r="A318" s="19" t="s">
        <v>65</v>
      </c>
      <c r="B318" s="22">
        <f>B297</f>
        <v>0</v>
      </c>
      <c r="C318" s="28" t="e">
        <f>B318/B320</f>
        <v>#DIV/0!</v>
      </c>
    </row>
    <row r="319" spans="1:3" hidden="1" x14ac:dyDescent="0.25">
      <c r="A319" s="23" t="s">
        <v>66</v>
      </c>
      <c r="B319" s="24">
        <f>B298</f>
        <v>0</v>
      </c>
    </row>
    <row r="320" spans="1:3" ht="15.75" hidden="1" thickBot="1" x14ac:dyDescent="0.3">
      <c r="A320" s="36" t="s">
        <v>59</v>
      </c>
      <c r="B320" s="37">
        <f>B319+B314</f>
        <v>0</v>
      </c>
    </row>
    <row r="321" spans="1:3" ht="15.75" hidden="1" thickTop="1" x14ac:dyDescent="0.25"/>
    <row r="322" spans="1:3" hidden="1" x14ac:dyDescent="0.25">
      <c r="A322" s="17" t="s">
        <v>62</v>
      </c>
      <c r="B322" s="18"/>
    </row>
    <row r="323" spans="1:3" hidden="1" x14ac:dyDescent="0.25">
      <c r="A323" s="26"/>
      <c r="B323" s="27"/>
    </row>
    <row r="324" spans="1:3" hidden="1" x14ac:dyDescent="0.25">
      <c r="A324" s="19" t="s">
        <v>63</v>
      </c>
      <c r="B324" s="22">
        <f>B320*B310</f>
        <v>0</v>
      </c>
    </row>
    <row r="325" spans="1:3" hidden="1" x14ac:dyDescent="0.25">
      <c r="A325" s="19" t="s">
        <v>67</v>
      </c>
      <c r="B325" s="22">
        <f>B317*B309</f>
        <v>0</v>
      </c>
    </row>
    <row r="326" spans="1:3" hidden="1" x14ac:dyDescent="0.25">
      <c r="A326" s="19" t="s">
        <v>64</v>
      </c>
      <c r="B326" s="22">
        <f>SUM('Subaward&amp;Exclusion Worksheet'!6:6)</f>
        <v>0</v>
      </c>
    </row>
    <row r="327" spans="1:3" hidden="1" x14ac:dyDescent="0.25">
      <c r="A327" s="19" t="s">
        <v>68</v>
      </c>
      <c r="B327" s="22">
        <f>B326+B325</f>
        <v>0</v>
      </c>
    </row>
    <row r="328" spans="1:3" hidden="1" x14ac:dyDescent="0.25">
      <c r="A328" s="19" t="s">
        <v>65</v>
      </c>
      <c r="B328" s="22">
        <f>IF(B324&lt;(B325+B326),B324,(B325+B326))</f>
        <v>0</v>
      </c>
      <c r="C328" t="str">
        <f>IF(B328=B324,"TFFA","MTDC")</f>
        <v>TFFA</v>
      </c>
    </row>
    <row r="329" spans="1:3" hidden="1" x14ac:dyDescent="0.25">
      <c r="A329" s="23" t="s">
        <v>66</v>
      </c>
      <c r="B329" s="24">
        <f>B328-B326</f>
        <v>0</v>
      </c>
    </row>
    <row r="330" spans="1:3" ht="15.75" hidden="1" thickBot="1" x14ac:dyDescent="0.3">
      <c r="A330" s="36" t="s">
        <v>76</v>
      </c>
      <c r="B330" s="37">
        <f>B329+B314</f>
        <v>0</v>
      </c>
    </row>
    <row r="331" spans="1:3" ht="16.5" hidden="1" thickTop="1" thickBot="1" x14ac:dyDescent="0.3"/>
    <row r="332" spans="1:3" ht="16.5" hidden="1" thickTop="1" thickBot="1" x14ac:dyDescent="0.3">
      <c r="A332" s="29" t="s">
        <v>70</v>
      </c>
      <c r="B332" s="30" t="e">
        <f>+B329/B317</f>
        <v>#DIV/0!</v>
      </c>
    </row>
    <row r="333" spans="1:3" ht="16.5" hidden="1" thickTop="1" thickBot="1" x14ac:dyDescent="0.3">
      <c r="A333" s="31" t="s">
        <v>71</v>
      </c>
      <c r="B333" s="32" t="e">
        <f>+B329/B314</f>
        <v>#DIV/0!</v>
      </c>
    </row>
    <row r="334" spans="1:3" ht="15.75" hidden="1" thickTop="1" x14ac:dyDescent="0.25"/>
    <row r="335" spans="1:3" hidden="1" x14ac:dyDescent="0.25">
      <c r="A335" t="s">
        <v>73</v>
      </c>
      <c r="B335" s="38">
        <f>B328-B297</f>
        <v>0</v>
      </c>
    </row>
    <row r="336" spans="1:3" hidden="1" x14ac:dyDescent="0.25">
      <c r="A336" t="s">
        <v>74</v>
      </c>
      <c r="B336" s="38">
        <f>+B329-B298</f>
        <v>0</v>
      </c>
    </row>
    <row r="337" spans="1:3" hidden="1" x14ac:dyDescent="0.25">
      <c r="A337" t="s">
        <v>75</v>
      </c>
      <c r="B337" s="38">
        <f>B330-B320</f>
        <v>0</v>
      </c>
    </row>
    <row r="338" spans="1:3" ht="15.75" hidden="1" thickBot="1" x14ac:dyDescent="0.3">
      <c r="A338" s="9"/>
      <c r="B338" s="9"/>
      <c r="C338" s="9"/>
    </row>
    <row r="339" spans="1:3" hidden="1" x14ac:dyDescent="0.25"/>
    <row r="340" spans="1:3" hidden="1" x14ac:dyDescent="0.25">
      <c r="A340" s="10" t="s">
        <v>53</v>
      </c>
      <c r="B340" s="61">
        <f>$B$3</f>
        <v>0</v>
      </c>
    </row>
    <row r="341" spans="1:3" hidden="1" x14ac:dyDescent="0.25">
      <c r="A341" s="10" t="s">
        <v>54</v>
      </c>
      <c r="B341" s="61">
        <f>$B$4</f>
        <v>0.3</v>
      </c>
    </row>
    <row r="342" spans="1:3" hidden="1" x14ac:dyDescent="0.25"/>
    <row r="343" spans="1:3" hidden="1" x14ac:dyDescent="0.25">
      <c r="A343" s="17" t="s">
        <v>69</v>
      </c>
      <c r="B343" s="35" t="s">
        <v>28</v>
      </c>
    </row>
    <row r="344" spans="1:3" hidden="1" x14ac:dyDescent="0.25">
      <c r="A344" s="19"/>
      <c r="B344" s="20"/>
    </row>
    <row r="345" spans="1:3" hidden="1" x14ac:dyDescent="0.25">
      <c r="A345" s="19" t="s">
        <v>55</v>
      </c>
      <c r="B345" s="33">
        <f>B314</f>
        <v>0</v>
      </c>
    </row>
    <row r="346" spans="1:3" hidden="1" x14ac:dyDescent="0.25">
      <c r="A346" s="19" t="s">
        <v>56</v>
      </c>
      <c r="B346" s="33">
        <f>B315</f>
        <v>0</v>
      </c>
    </row>
    <row r="347" spans="1:3" hidden="1" x14ac:dyDescent="0.25">
      <c r="A347" s="19" t="s">
        <v>57</v>
      </c>
      <c r="B347" s="33">
        <f>B316</f>
        <v>0</v>
      </c>
    </row>
    <row r="348" spans="1:3" hidden="1" x14ac:dyDescent="0.25">
      <c r="A348" s="19" t="s">
        <v>58</v>
      </c>
      <c r="B348" s="33">
        <f>B317</f>
        <v>0</v>
      </c>
    </row>
    <row r="349" spans="1:3" hidden="1" x14ac:dyDescent="0.25">
      <c r="A349" s="19" t="s">
        <v>65</v>
      </c>
      <c r="B349" s="22">
        <f>B328</f>
        <v>0</v>
      </c>
      <c r="C349" s="28" t="e">
        <f>B349/B351</f>
        <v>#DIV/0!</v>
      </c>
    </row>
    <row r="350" spans="1:3" hidden="1" x14ac:dyDescent="0.25">
      <c r="A350" s="23" t="s">
        <v>66</v>
      </c>
      <c r="B350" s="24">
        <f>B329</f>
        <v>0</v>
      </c>
    </row>
    <row r="351" spans="1:3" ht="15.75" hidden="1" thickBot="1" x14ac:dyDescent="0.3">
      <c r="A351" s="36" t="s">
        <v>59</v>
      </c>
      <c r="B351" s="37">
        <f>B350+B345</f>
        <v>0</v>
      </c>
    </row>
    <row r="352" spans="1:3" ht="15.75" hidden="1" thickTop="1" x14ac:dyDescent="0.25"/>
    <row r="353" spans="1:3" hidden="1" x14ac:dyDescent="0.25">
      <c r="A353" s="17" t="s">
        <v>62</v>
      </c>
      <c r="B353" s="18"/>
    </row>
    <row r="354" spans="1:3" hidden="1" x14ac:dyDescent="0.25">
      <c r="A354" s="26"/>
      <c r="B354" s="27"/>
    </row>
    <row r="355" spans="1:3" hidden="1" x14ac:dyDescent="0.25">
      <c r="A355" s="19" t="s">
        <v>63</v>
      </c>
      <c r="B355" s="22">
        <f>B351*B341</f>
        <v>0</v>
      </c>
    </row>
    <row r="356" spans="1:3" hidden="1" x14ac:dyDescent="0.25">
      <c r="A356" s="19" t="s">
        <v>67</v>
      </c>
      <c r="B356" s="22">
        <f>B348*B340</f>
        <v>0</v>
      </c>
    </row>
    <row r="357" spans="1:3" hidden="1" x14ac:dyDescent="0.25">
      <c r="A357" s="19" t="s">
        <v>64</v>
      </c>
      <c r="B357" s="22">
        <f>SUM('Subaward&amp;Exclusion Worksheet'!6:6)</f>
        <v>0</v>
      </c>
    </row>
    <row r="358" spans="1:3" hidden="1" x14ac:dyDescent="0.25">
      <c r="A358" s="19" t="s">
        <v>68</v>
      </c>
      <c r="B358" s="22">
        <f>B357+B356</f>
        <v>0</v>
      </c>
    </row>
    <row r="359" spans="1:3" hidden="1" x14ac:dyDescent="0.25">
      <c r="A359" s="19" t="s">
        <v>65</v>
      </c>
      <c r="B359" s="22">
        <f>IF(B355&lt;(B356+B357),B355,(B356+B357))</f>
        <v>0</v>
      </c>
      <c r="C359" t="str">
        <f>IF(B359=B355,"TFFA","MTDC")</f>
        <v>TFFA</v>
      </c>
    </row>
    <row r="360" spans="1:3" hidden="1" x14ac:dyDescent="0.25">
      <c r="A360" s="23" t="s">
        <v>66</v>
      </c>
      <c r="B360" s="24">
        <f>B359-B357</f>
        <v>0</v>
      </c>
    </row>
    <row r="361" spans="1:3" ht="15.75" hidden="1" thickBot="1" x14ac:dyDescent="0.3">
      <c r="A361" s="36" t="s">
        <v>76</v>
      </c>
      <c r="B361" s="37">
        <f>B360+B345</f>
        <v>0</v>
      </c>
    </row>
    <row r="362" spans="1:3" ht="16.5" hidden="1" thickTop="1" thickBot="1" x14ac:dyDescent="0.3"/>
    <row r="363" spans="1:3" ht="16.5" hidden="1" thickTop="1" thickBot="1" x14ac:dyDescent="0.3">
      <c r="A363" s="29" t="s">
        <v>70</v>
      </c>
      <c r="B363" s="30" t="e">
        <f>+B360/B348</f>
        <v>#DIV/0!</v>
      </c>
    </row>
    <row r="364" spans="1:3" ht="16.5" hidden="1" thickTop="1" thickBot="1" x14ac:dyDescent="0.3">
      <c r="A364" s="31" t="s">
        <v>71</v>
      </c>
      <c r="B364" s="32" t="e">
        <f>+B360/B345</f>
        <v>#DIV/0!</v>
      </c>
    </row>
    <row r="365" spans="1:3" ht="15.75" hidden="1" thickTop="1" x14ac:dyDescent="0.25"/>
    <row r="366" spans="1:3" hidden="1" x14ac:dyDescent="0.25">
      <c r="A366" t="s">
        <v>73</v>
      </c>
      <c r="B366" s="38">
        <f>B359-B328</f>
        <v>0</v>
      </c>
    </row>
    <row r="367" spans="1:3" hidden="1" x14ac:dyDescent="0.25">
      <c r="A367" t="s">
        <v>74</v>
      </c>
      <c r="B367" s="38">
        <f>+B360-B329</f>
        <v>0</v>
      </c>
    </row>
    <row r="368" spans="1:3" hidden="1" x14ac:dyDescent="0.25">
      <c r="A368" t="s">
        <v>75</v>
      </c>
      <c r="B368" s="38">
        <f>B361-B351</f>
        <v>0</v>
      </c>
    </row>
    <row r="369" spans="1:3" ht="15.75" hidden="1" thickBot="1" x14ac:dyDescent="0.3">
      <c r="A369" s="9"/>
      <c r="B369" s="9"/>
      <c r="C369" s="9"/>
    </row>
    <row r="370" spans="1:3" hidden="1" x14ac:dyDescent="0.25"/>
    <row r="371" spans="1:3" hidden="1" x14ac:dyDescent="0.25">
      <c r="A371" s="10" t="s">
        <v>53</v>
      </c>
      <c r="B371" s="61">
        <f>$B$3</f>
        <v>0</v>
      </c>
    </row>
    <row r="372" spans="1:3" hidden="1" x14ac:dyDescent="0.25">
      <c r="A372" s="10" t="s">
        <v>54</v>
      </c>
      <c r="B372" s="61">
        <f>$B$4</f>
        <v>0.3</v>
      </c>
    </row>
    <row r="373" spans="1:3" hidden="1" x14ac:dyDescent="0.25"/>
    <row r="374" spans="1:3" hidden="1" x14ac:dyDescent="0.25">
      <c r="A374" s="17" t="s">
        <v>69</v>
      </c>
      <c r="B374" s="35" t="s">
        <v>29</v>
      </c>
    </row>
    <row r="375" spans="1:3" hidden="1" x14ac:dyDescent="0.25">
      <c r="A375" s="19"/>
      <c r="B375" s="20"/>
    </row>
    <row r="376" spans="1:3" hidden="1" x14ac:dyDescent="0.25">
      <c r="A376" s="19" t="s">
        <v>55</v>
      </c>
      <c r="B376" s="33">
        <f>B345</f>
        <v>0</v>
      </c>
    </row>
    <row r="377" spans="1:3" hidden="1" x14ac:dyDescent="0.25">
      <c r="A377" s="19" t="s">
        <v>56</v>
      </c>
      <c r="B377" s="33">
        <f>B346</f>
        <v>0</v>
      </c>
    </row>
    <row r="378" spans="1:3" hidden="1" x14ac:dyDescent="0.25">
      <c r="A378" s="19" t="s">
        <v>57</v>
      </c>
      <c r="B378" s="33">
        <f>B347</f>
        <v>0</v>
      </c>
    </row>
    <row r="379" spans="1:3" hidden="1" x14ac:dyDescent="0.25">
      <c r="A379" s="19" t="s">
        <v>58</v>
      </c>
      <c r="B379" s="33">
        <f>B348</f>
        <v>0</v>
      </c>
    </row>
    <row r="380" spans="1:3" hidden="1" x14ac:dyDescent="0.25">
      <c r="A380" s="19" t="s">
        <v>65</v>
      </c>
      <c r="B380" s="22">
        <f>B359</f>
        <v>0</v>
      </c>
      <c r="C380" s="28" t="e">
        <f>B380/B382</f>
        <v>#DIV/0!</v>
      </c>
    </row>
    <row r="381" spans="1:3" hidden="1" x14ac:dyDescent="0.25">
      <c r="A381" s="23" t="s">
        <v>66</v>
      </c>
      <c r="B381" s="24">
        <f>B360</f>
        <v>0</v>
      </c>
    </row>
    <row r="382" spans="1:3" ht="15.75" hidden="1" thickBot="1" x14ac:dyDescent="0.3">
      <c r="A382" s="36" t="s">
        <v>59</v>
      </c>
      <c r="B382" s="37">
        <f>B381+B376</f>
        <v>0</v>
      </c>
    </row>
    <row r="383" spans="1:3" ht="15.75" hidden="1" thickTop="1" x14ac:dyDescent="0.25"/>
    <row r="384" spans="1:3" hidden="1" x14ac:dyDescent="0.25">
      <c r="A384" s="17" t="s">
        <v>62</v>
      </c>
      <c r="B384" s="18"/>
    </row>
    <row r="385" spans="1:3" hidden="1" x14ac:dyDescent="0.25">
      <c r="A385" s="26"/>
      <c r="B385" s="27"/>
    </row>
    <row r="386" spans="1:3" hidden="1" x14ac:dyDescent="0.25">
      <c r="A386" s="19" t="s">
        <v>63</v>
      </c>
      <c r="B386" s="22">
        <f>B382*B372</f>
        <v>0</v>
      </c>
    </row>
    <row r="387" spans="1:3" hidden="1" x14ac:dyDescent="0.25">
      <c r="A387" s="19" t="s">
        <v>67</v>
      </c>
      <c r="B387" s="22">
        <f>B379*B371</f>
        <v>0</v>
      </c>
    </row>
    <row r="388" spans="1:3" hidden="1" x14ac:dyDescent="0.25">
      <c r="A388" s="19" t="s">
        <v>64</v>
      </c>
      <c r="B388" s="22">
        <f>SUM('Subaward&amp;Exclusion Worksheet'!6:6)</f>
        <v>0</v>
      </c>
    </row>
    <row r="389" spans="1:3" hidden="1" x14ac:dyDescent="0.25">
      <c r="A389" s="19" t="s">
        <v>68</v>
      </c>
      <c r="B389" s="22">
        <f>B388+B387</f>
        <v>0</v>
      </c>
    </row>
    <row r="390" spans="1:3" hidden="1" x14ac:dyDescent="0.25">
      <c r="A390" s="19" t="s">
        <v>65</v>
      </c>
      <c r="B390" s="22">
        <f>IF(B386&lt;(B387+B388),B386,(B387+B388))</f>
        <v>0</v>
      </c>
      <c r="C390" t="str">
        <f>IF(B390=B386,"TFFA","MTDC")</f>
        <v>TFFA</v>
      </c>
    </row>
    <row r="391" spans="1:3" hidden="1" x14ac:dyDescent="0.25">
      <c r="A391" s="23" t="s">
        <v>66</v>
      </c>
      <c r="B391" s="24">
        <f>B390-B388</f>
        <v>0</v>
      </c>
    </row>
    <row r="392" spans="1:3" ht="15.75" hidden="1" thickBot="1" x14ac:dyDescent="0.3">
      <c r="A392" s="36" t="s">
        <v>76</v>
      </c>
      <c r="B392" s="37">
        <f>B391+B376</f>
        <v>0</v>
      </c>
    </row>
    <row r="393" spans="1:3" ht="16.5" hidden="1" thickTop="1" thickBot="1" x14ac:dyDescent="0.3"/>
    <row r="394" spans="1:3" ht="16.5" hidden="1" thickTop="1" thickBot="1" x14ac:dyDescent="0.3">
      <c r="A394" s="29" t="s">
        <v>70</v>
      </c>
      <c r="B394" s="30" t="e">
        <f>+B391/B379</f>
        <v>#DIV/0!</v>
      </c>
    </row>
    <row r="395" spans="1:3" ht="16.5" hidden="1" thickTop="1" thickBot="1" x14ac:dyDescent="0.3">
      <c r="A395" s="31" t="s">
        <v>71</v>
      </c>
      <c r="B395" s="32" t="e">
        <f>+B391/B376</f>
        <v>#DIV/0!</v>
      </c>
    </row>
    <row r="396" spans="1:3" ht="15.75" hidden="1" thickTop="1" x14ac:dyDescent="0.25"/>
    <row r="397" spans="1:3" hidden="1" x14ac:dyDescent="0.25">
      <c r="A397" t="s">
        <v>73</v>
      </c>
      <c r="B397" s="38">
        <f>B390-B359</f>
        <v>0</v>
      </c>
    </row>
    <row r="398" spans="1:3" hidden="1" x14ac:dyDescent="0.25">
      <c r="A398" t="s">
        <v>74</v>
      </c>
      <c r="B398" s="38">
        <f>+B391-B360</f>
        <v>0</v>
      </c>
    </row>
    <row r="399" spans="1:3" hidden="1" x14ac:dyDescent="0.25">
      <c r="A399" t="s">
        <v>75</v>
      </c>
      <c r="B399" s="38">
        <f>B392-B382</f>
        <v>0</v>
      </c>
    </row>
    <row r="400" spans="1:3" ht="15.75" hidden="1" thickBot="1" x14ac:dyDescent="0.3">
      <c r="A400" s="9"/>
      <c r="B400" s="9"/>
      <c r="C400" s="9"/>
    </row>
    <row r="401" spans="1:3" hidden="1" x14ac:dyDescent="0.25"/>
    <row r="402" spans="1:3" hidden="1" x14ac:dyDescent="0.25">
      <c r="A402" s="10" t="s">
        <v>53</v>
      </c>
      <c r="B402" s="61">
        <f>$B$3</f>
        <v>0</v>
      </c>
    </row>
    <row r="403" spans="1:3" hidden="1" x14ac:dyDescent="0.25">
      <c r="A403" s="10" t="s">
        <v>54</v>
      </c>
      <c r="B403" s="61">
        <f>$B$4</f>
        <v>0.3</v>
      </c>
    </row>
    <row r="404" spans="1:3" hidden="1" x14ac:dyDescent="0.25"/>
    <row r="405" spans="1:3" hidden="1" x14ac:dyDescent="0.25">
      <c r="A405" s="17" t="s">
        <v>69</v>
      </c>
      <c r="B405" s="35" t="s">
        <v>30</v>
      </c>
    </row>
    <row r="406" spans="1:3" hidden="1" x14ac:dyDescent="0.25">
      <c r="A406" s="19"/>
      <c r="B406" s="20"/>
    </row>
    <row r="407" spans="1:3" hidden="1" x14ac:dyDescent="0.25">
      <c r="A407" s="19" t="s">
        <v>55</v>
      </c>
      <c r="B407" s="33">
        <f>B376</f>
        <v>0</v>
      </c>
    </row>
    <row r="408" spans="1:3" hidden="1" x14ac:dyDescent="0.25">
      <c r="A408" s="19" t="s">
        <v>56</v>
      </c>
      <c r="B408" s="33">
        <f>B377</f>
        <v>0</v>
      </c>
    </row>
    <row r="409" spans="1:3" hidden="1" x14ac:dyDescent="0.25">
      <c r="A409" s="19" t="s">
        <v>57</v>
      </c>
      <c r="B409" s="33">
        <f>B378</f>
        <v>0</v>
      </c>
    </row>
    <row r="410" spans="1:3" hidden="1" x14ac:dyDescent="0.25">
      <c r="A410" s="19" t="s">
        <v>58</v>
      </c>
      <c r="B410" s="33">
        <f>B379</f>
        <v>0</v>
      </c>
    </row>
    <row r="411" spans="1:3" hidden="1" x14ac:dyDescent="0.25">
      <c r="A411" s="19" t="s">
        <v>65</v>
      </c>
      <c r="B411" s="22">
        <f>B390</f>
        <v>0</v>
      </c>
      <c r="C411" s="28" t="e">
        <f>B411/B413</f>
        <v>#DIV/0!</v>
      </c>
    </row>
    <row r="412" spans="1:3" hidden="1" x14ac:dyDescent="0.25">
      <c r="A412" s="23" t="s">
        <v>66</v>
      </c>
      <c r="B412" s="24">
        <f>B391</f>
        <v>0</v>
      </c>
    </row>
    <row r="413" spans="1:3" ht="15.75" hidden="1" thickBot="1" x14ac:dyDescent="0.3">
      <c r="A413" s="36" t="s">
        <v>59</v>
      </c>
      <c r="B413" s="37">
        <f>B412+B407</f>
        <v>0</v>
      </c>
    </row>
    <row r="414" spans="1:3" ht="15.75" hidden="1" thickTop="1" x14ac:dyDescent="0.25"/>
    <row r="415" spans="1:3" hidden="1" x14ac:dyDescent="0.25">
      <c r="A415" s="17" t="s">
        <v>62</v>
      </c>
      <c r="B415" s="18"/>
    </row>
    <row r="416" spans="1:3" hidden="1" x14ac:dyDescent="0.25">
      <c r="A416" s="26"/>
      <c r="B416" s="27"/>
    </row>
    <row r="417" spans="1:3" hidden="1" x14ac:dyDescent="0.25">
      <c r="A417" s="19" t="s">
        <v>63</v>
      </c>
      <c r="B417" s="22">
        <f>B413*B403</f>
        <v>0</v>
      </c>
    </row>
    <row r="418" spans="1:3" hidden="1" x14ac:dyDescent="0.25">
      <c r="A418" s="19" t="s">
        <v>67</v>
      </c>
      <c r="B418" s="22">
        <f>B410*B402</f>
        <v>0</v>
      </c>
    </row>
    <row r="419" spans="1:3" hidden="1" x14ac:dyDescent="0.25">
      <c r="A419" s="19" t="s">
        <v>64</v>
      </c>
      <c r="B419" s="22">
        <f>SUM('Subaward&amp;Exclusion Worksheet'!6:6)</f>
        <v>0</v>
      </c>
    </row>
    <row r="420" spans="1:3" hidden="1" x14ac:dyDescent="0.25">
      <c r="A420" s="19" t="s">
        <v>68</v>
      </c>
      <c r="B420" s="22">
        <f>B419+B418</f>
        <v>0</v>
      </c>
    </row>
    <row r="421" spans="1:3" hidden="1" x14ac:dyDescent="0.25">
      <c r="A421" s="19" t="s">
        <v>65</v>
      </c>
      <c r="B421" s="22">
        <f>IF(B417&lt;(B418+B419),B417,(B418+B419))</f>
        <v>0</v>
      </c>
      <c r="C421" t="str">
        <f>IF(B421=B417,"TFFA","MTDC")</f>
        <v>TFFA</v>
      </c>
    </row>
    <row r="422" spans="1:3" hidden="1" x14ac:dyDescent="0.25">
      <c r="A422" s="23" t="s">
        <v>66</v>
      </c>
      <c r="B422" s="24">
        <f>B421-B419</f>
        <v>0</v>
      </c>
    </row>
    <row r="423" spans="1:3" ht="15.75" hidden="1" thickBot="1" x14ac:dyDescent="0.3">
      <c r="A423" s="36" t="s">
        <v>76</v>
      </c>
      <c r="B423" s="37">
        <f>B422+B407</f>
        <v>0</v>
      </c>
    </row>
    <row r="424" spans="1:3" ht="16.5" hidden="1" thickTop="1" thickBot="1" x14ac:dyDescent="0.3"/>
    <row r="425" spans="1:3" ht="16.5" hidden="1" thickTop="1" thickBot="1" x14ac:dyDescent="0.3">
      <c r="A425" s="29" t="s">
        <v>70</v>
      </c>
      <c r="B425" s="30" t="e">
        <f>+B422/B410</f>
        <v>#DIV/0!</v>
      </c>
    </row>
    <row r="426" spans="1:3" ht="16.5" hidden="1" thickTop="1" thickBot="1" x14ac:dyDescent="0.3">
      <c r="A426" s="31" t="s">
        <v>71</v>
      </c>
      <c r="B426" s="32" t="e">
        <f>+B422/B407</f>
        <v>#DIV/0!</v>
      </c>
    </row>
    <row r="427" spans="1:3" ht="15.75" hidden="1" thickTop="1" x14ac:dyDescent="0.25"/>
    <row r="428" spans="1:3" hidden="1" x14ac:dyDescent="0.25">
      <c r="A428" t="s">
        <v>73</v>
      </c>
      <c r="B428" s="38">
        <f>B421-B390</f>
        <v>0</v>
      </c>
    </row>
    <row r="429" spans="1:3" hidden="1" x14ac:dyDescent="0.25">
      <c r="A429" t="s">
        <v>74</v>
      </c>
      <c r="B429" s="38">
        <f>+B422-B391</f>
        <v>0</v>
      </c>
    </row>
    <row r="430" spans="1:3" hidden="1" x14ac:dyDescent="0.25">
      <c r="A430" t="s">
        <v>75</v>
      </c>
      <c r="B430" s="38">
        <f>B423-B413</f>
        <v>0</v>
      </c>
    </row>
    <row r="431" spans="1:3" ht="15.75" hidden="1" thickBot="1" x14ac:dyDescent="0.3">
      <c r="A431" s="9"/>
      <c r="B431" s="9"/>
      <c r="C431" s="9"/>
    </row>
    <row r="432" spans="1:3" hidden="1" x14ac:dyDescent="0.25"/>
    <row r="433" spans="1:3" hidden="1" x14ac:dyDescent="0.25">
      <c r="A433" s="10" t="s">
        <v>53</v>
      </c>
      <c r="B433" s="61">
        <f>$B$3</f>
        <v>0</v>
      </c>
    </row>
    <row r="434" spans="1:3" hidden="1" x14ac:dyDescent="0.25">
      <c r="A434" s="10" t="s">
        <v>54</v>
      </c>
      <c r="B434" s="61">
        <f>$B$4</f>
        <v>0.3</v>
      </c>
    </row>
    <row r="435" spans="1:3" hidden="1" x14ac:dyDescent="0.25"/>
    <row r="436" spans="1:3" hidden="1" x14ac:dyDescent="0.25">
      <c r="A436" s="17" t="s">
        <v>69</v>
      </c>
      <c r="B436" s="35" t="s">
        <v>31</v>
      </c>
    </row>
    <row r="437" spans="1:3" hidden="1" x14ac:dyDescent="0.25">
      <c r="A437" s="19"/>
      <c r="B437" s="20"/>
    </row>
    <row r="438" spans="1:3" hidden="1" x14ac:dyDescent="0.25">
      <c r="A438" s="19" t="s">
        <v>55</v>
      </c>
      <c r="B438" s="33">
        <f>B407</f>
        <v>0</v>
      </c>
    </row>
    <row r="439" spans="1:3" hidden="1" x14ac:dyDescent="0.25">
      <c r="A439" s="19" t="s">
        <v>56</v>
      </c>
      <c r="B439" s="33">
        <f>B408</f>
        <v>0</v>
      </c>
    </row>
    <row r="440" spans="1:3" hidden="1" x14ac:dyDescent="0.25">
      <c r="A440" s="19" t="s">
        <v>57</v>
      </c>
      <c r="B440" s="33">
        <f>B409</f>
        <v>0</v>
      </c>
    </row>
    <row r="441" spans="1:3" hidden="1" x14ac:dyDescent="0.25">
      <c r="A441" s="19" t="s">
        <v>58</v>
      </c>
      <c r="B441" s="33">
        <f>B410</f>
        <v>0</v>
      </c>
    </row>
    <row r="442" spans="1:3" hidden="1" x14ac:dyDescent="0.25">
      <c r="A442" s="19" t="s">
        <v>65</v>
      </c>
      <c r="B442" s="22">
        <f>B421</f>
        <v>0</v>
      </c>
      <c r="C442" s="28" t="e">
        <f>B442/B444</f>
        <v>#DIV/0!</v>
      </c>
    </row>
    <row r="443" spans="1:3" hidden="1" x14ac:dyDescent="0.25">
      <c r="A443" s="23" t="s">
        <v>66</v>
      </c>
      <c r="B443" s="24">
        <f>B422</f>
        <v>0</v>
      </c>
    </row>
    <row r="444" spans="1:3" ht="15.75" hidden="1" thickBot="1" x14ac:dyDescent="0.3">
      <c r="A444" s="36" t="s">
        <v>59</v>
      </c>
      <c r="B444" s="37">
        <f>B443+B438</f>
        <v>0</v>
      </c>
    </row>
    <row r="445" spans="1:3" ht="15.75" hidden="1" thickTop="1" x14ac:dyDescent="0.25"/>
    <row r="446" spans="1:3" hidden="1" x14ac:dyDescent="0.25">
      <c r="A446" s="17" t="s">
        <v>62</v>
      </c>
      <c r="B446" s="18"/>
    </row>
    <row r="447" spans="1:3" hidden="1" x14ac:dyDescent="0.25">
      <c r="A447" s="26"/>
      <c r="B447" s="27"/>
    </row>
    <row r="448" spans="1:3" hidden="1" x14ac:dyDescent="0.25">
      <c r="A448" s="19" t="s">
        <v>63</v>
      </c>
      <c r="B448" s="22">
        <f>B444*B434</f>
        <v>0</v>
      </c>
    </row>
    <row r="449" spans="1:3" hidden="1" x14ac:dyDescent="0.25">
      <c r="A449" s="19" t="s">
        <v>67</v>
      </c>
      <c r="B449" s="22">
        <f>B441*B433</f>
        <v>0</v>
      </c>
    </row>
    <row r="450" spans="1:3" hidden="1" x14ac:dyDescent="0.25">
      <c r="A450" s="19" t="s">
        <v>64</v>
      </c>
      <c r="B450" s="22">
        <f>SUM('Subaward&amp;Exclusion Worksheet'!6:6)</f>
        <v>0</v>
      </c>
    </row>
    <row r="451" spans="1:3" hidden="1" x14ac:dyDescent="0.25">
      <c r="A451" s="19" t="s">
        <v>68</v>
      </c>
      <c r="B451" s="22">
        <f>B450+B449</f>
        <v>0</v>
      </c>
    </row>
    <row r="452" spans="1:3" hidden="1" x14ac:dyDescent="0.25">
      <c r="A452" s="19" t="s">
        <v>65</v>
      </c>
      <c r="B452" s="22">
        <f>IF(B448&lt;(B449+B450),B448,(B449+B450))</f>
        <v>0</v>
      </c>
      <c r="C452" t="str">
        <f>IF(B452=B448,"TFFA","MTDC")</f>
        <v>TFFA</v>
      </c>
    </row>
    <row r="453" spans="1:3" hidden="1" x14ac:dyDescent="0.25">
      <c r="A453" s="23" t="s">
        <v>66</v>
      </c>
      <c r="B453" s="24">
        <f>B452-B450</f>
        <v>0</v>
      </c>
    </row>
    <row r="454" spans="1:3" ht="15.75" hidden="1" thickBot="1" x14ac:dyDescent="0.3">
      <c r="A454" s="36" t="s">
        <v>76</v>
      </c>
      <c r="B454" s="37">
        <f>B453+B438</f>
        <v>0</v>
      </c>
    </row>
    <row r="455" spans="1:3" ht="16.5" hidden="1" thickTop="1" thickBot="1" x14ac:dyDescent="0.3"/>
    <row r="456" spans="1:3" ht="16.5" hidden="1" thickTop="1" thickBot="1" x14ac:dyDescent="0.3">
      <c r="A456" s="29" t="s">
        <v>70</v>
      </c>
      <c r="B456" s="30" t="e">
        <f>+B453/B441</f>
        <v>#DIV/0!</v>
      </c>
    </row>
    <row r="457" spans="1:3" ht="16.5" hidden="1" thickTop="1" thickBot="1" x14ac:dyDescent="0.3">
      <c r="A457" s="31" t="s">
        <v>71</v>
      </c>
      <c r="B457" s="32" t="e">
        <f>+B453/B438</f>
        <v>#DIV/0!</v>
      </c>
    </row>
    <row r="458" spans="1:3" ht="15.75" hidden="1" thickTop="1" x14ac:dyDescent="0.25"/>
    <row r="459" spans="1:3" hidden="1" x14ac:dyDescent="0.25">
      <c r="A459" t="s">
        <v>73</v>
      </c>
      <c r="B459" s="38">
        <f>B452-B421</f>
        <v>0</v>
      </c>
    </row>
    <row r="460" spans="1:3" hidden="1" x14ac:dyDescent="0.25">
      <c r="A460" t="s">
        <v>74</v>
      </c>
      <c r="B460" s="38">
        <f>+B453-B422</f>
        <v>0</v>
      </c>
    </row>
    <row r="461" spans="1:3" hidden="1" x14ac:dyDescent="0.25">
      <c r="A461" t="s">
        <v>75</v>
      </c>
      <c r="B461" s="38">
        <f>B454-B444</f>
        <v>0</v>
      </c>
    </row>
    <row r="462" spans="1:3" ht="15.75" hidden="1" thickBot="1" x14ac:dyDescent="0.3">
      <c r="A462" s="9"/>
      <c r="B462" s="9"/>
      <c r="C462" s="9"/>
    </row>
    <row r="463" spans="1:3" hidden="1" x14ac:dyDescent="0.25"/>
    <row r="464" spans="1:3" hidden="1" x14ac:dyDescent="0.25">
      <c r="A464" s="10" t="s">
        <v>53</v>
      </c>
      <c r="B464" s="61">
        <f>$B$3</f>
        <v>0</v>
      </c>
    </row>
    <row r="465" spans="1:3" hidden="1" x14ac:dyDescent="0.25">
      <c r="A465" s="10" t="s">
        <v>54</v>
      </c>
      <c r="B465" s="61">
        <f>$B$4</f>
        <v>0.3</v>
      </c>
    </row>
    <row r="466" spans="1:3" hidden="1" x14ac:dyDescent="0.25"/>
    <row r="467" spans="1:3" hidden="1" x14ac:dyDescent="0.25">
      <c r="A467" s="17" t="s">
        <v>69</v>
      </c>
      <c r="B467" s="35" t="s">
        <v>32</v>
      </c>
    </row>
    <row r="468" spans="1:3" hidden="1" x14ac:dyDescent="0.25">
      <c r="A468" s="19"/>
      <c r="B468" s="20"/>
    </row>
    <row r="469" spans="1:3" hidden="1" x14ac:dyDescent="0.25">
      <c r="A469" s="19" t="s">
        <v>55</v>
      </c>
      <c r="B469" s="33">
        <f>B438</f>
        <v>0</v>
      </c>
    </row>
    <row r="470" spans="1:3" hidden="1" x14ac:dyDescent="0.25">
      <c r="A470" s="19" t="s">
        <v>56</v>
      </c>
      <c r="B470" s="33">
        <f>B439</f>
        <v>0</v>
      </c>
    </row>
    <row r="471" spans="1:3" hidden="1" x14ac:dyDescent="0.25">
      <c r="A471" s="19" t="s">
        <v>57</v>
      </c>
      <c r="B471" s="33">
        <f>B440</f>
        <v>0</v>
      </c>
    </row>
    <row r="472" spans="1:3" hidden="1" x14ac:dyDescent="0.25">
      <c r="A472" s="19" t="s">
        <v>58</v>
      </c>
      <c r="B472" s="33">
        <f>B441</f>
        <v>0</v>
      </c>
    </row>
    <row r="473" spans="1:3" hidden="1" x14ac:dyDescent="0.25">
      <c r="A473" s="19" t="s">
        <v>65</v>
      </c>
      <c r="B473" s="22">
        <f>B452</f>
        <v>0</v>
      </c>
      <c r="C473" s="28" t="e">
        <f>B473/B475</f>
        <v>#DIV/0!</v>
      </c>
    </row>
    <row r="474" spans="1:3" hidden="1" x14ac:dyDescent="0.25">
      <c r="A474" s="23" t="s">
        <v>66</v>
      </c>
      <c r="B474" s="24">
        <f>B453</f>
        <v>0</v>
      </c>
    </row>
    <row r="475" spans="1:3" ht="15.75" hidden="1" thickBot="1" x14ac:dyDescent="0.3">
      <c r="A475" s="36" t="s">
        <v>59</v>
      </c>
      <c r="B475" s="37">
        <f>B474+B469</f>
        <v>0</v>
      </c>
    </row>
    <row r="476" spans="1:3" ht="15.75" hidden="1" thickTop="1" x14ac:dyDescent="0.25"/>
    <row r="477" spans="1:3" hidden="1" x14ac:dyDescent="0.25">
      <c r="A477" s="17" t="s">
        <v>62</v>
      </c>
      <c r="B477" s="18"/>
    </row>
    <row r="478" spans="1:3" hidden="1" x14ac:dyDescent="0.25">
      <c r="A478" s="26"/>
      <c r="B478" s="27"/>
    </row>
    <row r="479" spans="1:3" hidden="1" x14ac:dyDescent="0.25">
      <c r="A479" s="19" t="s">
        <v>63</v>
      </c>
      <c r="B479" s="22">
        <f>B475*B465</f>
        <v>0</v>
      </c>
    </row>
    <row r="480" spans="1:3" hidden="1" x14ac:dyDescent="0.25">
      <c r="A480" s="19" t="s">
        <v>67</v>
      </c>
      <c r="B480" s="22">
        <f>B472*B464</f>
        <v>0</v>
      </c>
    </row>
    <row r="481" spans="1:3" hidden="1" x14ac:dyDescent="0.25">
      <c r="A481" s="19" t="s">
        <v>64</v>
      </c>
      <c r="B481" s="22">
        <f>SUM('Subaward&amp;Exclusion Worksheet'!6:6)</f>
        <v>0</v>
      </c>
    </row>
    <row r="482" spans="1:3" hidden="1" x14ac:dyDescent="0.25">
      <c r="A482" s="19" t="s">
        <v>68</v>
      </c>
      <c r="B482" s="22">
        <f>B481+B480</f>
        <v>0</v>
      </c>
    </row>
    <row r="483" spans="1:3" hidden="1" x14ac:dyDescent="0.25">
      <c r="A483" s="19" t="s">
        <v>65</v>
      </c>
      <c r="B483" s="22">
        <f>IF(B479&lt;(B480+B481),B479,(B480+B481))</f>
        <v>0</v>
      </c>
      <c r="C483" t="str">
        <f>IF(B483=B479,"TFFA","MTDC")</f>
        <v>TFFA</v>
      </c>
    </row>
    <row r="484" spans="1:3" hidden="1" x14ac:dyDescent="0.25">
      <c r="A484" s="23" t="s">
        <v>66</v>
      </c>
      <c r="B484" s="24">
        <f>B483-B481</f>
        <v>0</v>
      </c>
    </row>
    <row r="485" spans="1:3" ht="15.75" hidden="1" thickBot="1" x14ac:dyDescent="0.3">
      <c r="A485" s="36" t="s">
        <v>76</v>
      </c>
      <c r="B485" s="37">
        <f>B484+B469</f>
        <v>0</v>
      </c>
    </row>
    <row r="486" spans="1:3" ht="16.5" hidden="1" thickTop="1" thickBot="1" x14ac:dyDescent="0.3"/>
    <row r="487" spans="1:3" ht="16.5" hidden="1" thickTop="1" thickBot="1" x14ac:dyDescent="0.3">
      <c r="A487" s="29" t="s">
        <v>70</v>
      </c>
      <c r="B487" s="30" t="e">
        <f>+B484/B472</f>
        <v>#DIV/0!</v>
      </c>
    </row>
    <row r="488" spans="1:3" ht="16.5" hidden="1" thickTop="1" thickBot="1" x14ac:dyDescent="0.3">
      <c r="A488" s="31" t="s">
        <v>71</v>
      </c>
      <c r="B488" s="32" t="e">
        <f>+B484/B469</f>
        <v>#DIV/0!</v>
      </c>
    </row>
    <row r="489" spans="1:3" ht="15.75" hidden="1" thickTop="1" x14ac:dyDescent="0.25"/>
    <row r="490" spans="1:3" hidden="1" x14ac:dyDescent="0.25">
      <c r="A490" t="s">
        <v>73</v>
      </c>
      <c r="B490" s="38">
        <f>B483-B452</f>
        <v>0</v>
      </c>
    </row>
    <row r="491" spans="1:3" hidden="1" x14ac:dyDescent="0.25">
      <c r="A491" t="s">
        <v>74</v>
      </c>
      <c r="B491" s="38">
        <f>+B484-B453</f>
        <v>0</v>
      </c>
    </row>
    <row r="492" spans="1:3" hidden="1" x14ac:dyDescent="0.25">
      <c r="A492" t="s">
        <v>75</v>
      </c>
      <c r="B492" s="38">
        <f>B485-B475</f>
        <v>0</v>
      </c>
    </row>
    <row r="493" spans="1:3" ht="15.75" hidden="1" thickBot="1" x14ac:dyDescent="0.3">
      <c r="A493" s="9"/>
      <c r="B493" s="9"/>
      <c r="C493" s="9"/>
    </row>
    <row r="494" spans="1:3" hidden="1" x14ac:dyDescent="0.25"/>
    <row r="495" spans="1:3" hidden="1" x14ac:dyDescent="0.25">
      <c r="A495" s="10" t="s">
        <v>53</v>
      </c>
      <c r="B495" s="61">
        <f>$B$3</f>
        <v>0</v>
      </c>
    </row>
    <row r="496" spans="1:3" hidden="1" x14ac:dyDescent="0.25">
      <c r="A496" s="10" t="s">
        <v>54</v>
      </c>
      <c r="B496" s="61">
        <f>$B$4</f>
        <v>0.3</v>
      </c>
    </row>
    <row r="497" spans="1:3" hidden="1" x14ac:dyDescent="0.25"/>
    <row r="498" spans="1:3" hidden="1" x14ac:dyDescent="0.25">
      <c r="A498" s="17" t="s">
        <v>69</v>
      </c>
      <c r="B498" s="35" t="s">
        <v>33</v>
      </c>
    </row>
    <row r="499" spans="1:3" hidden="1" x14ac:dyDescent="0.25">
      <c r="A499" s="19"/>
      <c r="B499" s="20"/>
    </row>
    <row r="500" spans="1:3" hidden="1" x14ac:dyDescent="0.25">
      <c r="A500" s="19" t="s">
        <v>55</v>
      </c>
      <c r="B500" s="33">
        <f>B469</f>
        <v>0</v>
      </c>
    </row>
    <row r="501" spans="1:3" hidden="1" x14ac:dyDescent="0.25">
      <c r="A501" s="19" t="s">
        <v>56</v>
      </c>
      <c r="B501" s="33">
        <f>B470</f>
        <v>0</v>
      </c>
    </row>
    <row r="502" spans="1:3" hidden="1" x14ac:dyDescent="0.25">
      <c r="A502" s="19" t="s">
        <v>57</v>
      </c>
      <c r="B502" s="33">
        <f>B471</f>
        <v>0</v>
      </c>
    </row>
    <row r="503" spans="1:3" hidden="1" x14ac:dyDescent="0.25">
      <c r="A503" s="19" t="s">
        <v>58</v>
      </c>
      <c r="B503" s="33">
        <f>B472</f>
        <v>0</v>
      </c>
    </row>
    <row r="504" spans="1:3" hidden="1" x14ac:dyDescent="0.25">
      <c r="A504" s="19" t="s">
        <v>65</v>
      </c>
      <c r="B504" s="22">
        <f>B483</f>
        <v>0</v>
      </c>
      <c r="C504" s="28" t="e">
        <f>B504/B506</f>
        <v>#DIV/0!</v>
      </c>
    </row>
    <row r="505" spans="1:3" hidden="1" x14ac:dyDescent="0.25">
      <c r="A505" s="23" t="s">
        <v>66</v>
      </c>
      <c r="B505" s="24">
        <f>B484</f>
        <v>0</v>
      </c>
    </row>
    <row r="506" spans="1:3" ht="15.75" hidden="1" thickBot="1" x14ac:dyDescent="0.3">
      <c r="A506" s="36" t="s">
        <v>59</v>
      </c>
      <c r="B506" s="37">
        <f>B505+B500</f>
        <v>0</v>
      </c>
    </row>
    <row r="507" spans="1:3" ht="15.75" hidden="1" thickTop="1" x14ac:dyDescent="0.25"/>
    <row r="508" spans="1:3" hidden="1" x14ac:dyDescent="0.25">
      <c r="A508" s="17" t="s">
        <v>62</v>
      </c>
      <c r="B508" s="18"/>
    </row>
    <row r="509" spans="1:3" hidden="1" x14ac:dyDescent="0.25">
      <c r="A509" s="26"/>
      <c r="B509" s="27"/>
    </row>
    <row r="510" spans="1:3" hidden="1" x14ac:dyDescent="0.25">
      <c r="A510" s="19" t="s">
        <v>63</v>
      </c>
      <c r="B510" s="22">
        <f>B506*B496</f>
        <v>0</v>
      </c>
    </row>
    <row r="511" spans="1:3" hidden="1" x14ac:dyDescent="0.25">
      <c r="A511" s="19" t="s">
        <v>67</v>
      </c>
      <c r="B511" s="22">
        <f>B503*B495</f>
        <v>0</v>
      </c>
    </row>
    <row r="512" spans="1:3" hidden="1" x14ac:dyDescent="0.25">
      <c r="A512" s="19" t="s">
        <v>64</v>
      </c>
      <c r="B512" s="22">
        <f>SUM('Subaward&amp;Exclusion Worksheet'!6:6)</f>
        <v>0</v>
      </c>
    </row>
    <row r="513" spans="1:3" hidden="1" x14ac:dyDescent="0.25">
      <c r="A513" s="19" t="s">
        <v>68</v>
      </c>
      <c r="B513" s="22">
        <f>B512+B511</f>
        <v>0</v>
      </c>
    </row>
    <row r="514" spans="1:3" hidden="1" x14ac:dyDescent="0.25">
      <c r="A514" s="19" t="s">
        <v>65</v>
      </c>
      <c r="B514" s="22">
        <f>IF(B510&lt;(B511+B512),B510,(B511+B512))</f>
        <v>0</v>
      </c>
      <c r="C514" t="str">
        <f>IF(B514=B510,"TFFA","MTDC")</f>
        <v>TFFA</v>
      </c>
    </row>
    <row r="515" spans="1:3" hidden="1" x14ac:dyDescent="0.25">
      <c r="A515" s="23" t="s">
        <v>66</v>
      </c>
      <c r="B515" s="24">
        <f>B514-B512</f>
        <v>0</v>
      </c>
    </row>
    <row r="516" spans="1:3" ht="15.75" hidden="1" thickBot="1" x14ac:dyDescent="0.3">
      <c r="A516" s="36" t="s">
        <v>76</v>
      </c>
      <c r="B516" s="37">
        <f>B515+B500</f>
        <v>0</v>
      </c>
    </row>
    <row r="517" spans="1:3" ht="16.5" hidden="1" thickTop="1" thickBot="1" x14ac:dyDescent="0.3"/>
    <row r="518" spans="1:3" ht="16.5" hidden="1" thickTop="1" thickBot="1" x14ac:dyDescent="0.3">
      <c r="A518" s="29" t="s">
        <v>70</v>
      </c>
      <c r="B518" s="30" t="e">
        <f>+B515/B503</f>
        <v>#DIV/0!</v>
      </c>
    </row>
    <row r="519" spans="1:3" ht="16.5" hidden="1" thickTop="1" thickBot="1" x14ac:dyDescent="0.3">
      <c r="A519" s="31" t="s">
        <v>71</v>
      </c>
      <c r="B519" s="32" t="e">
        <f>+B515/B500</f>
        <v>#DIV/0!</v>
      </c>
    </row>
    <row r="520" spans="1:3" ht="15.75" hidden="1" thickTop="1" x14ac:dyDescent="0.25"/>
    <row r="521" spans="1:3" hidden="1" x14ac:dyDescent="0.25">
      <c r="A521" t="s">
        <v>73</v>
      </c>
      <c r="B521" s="38">
        <f>B514-B483</f>
        <v>0</v>
      </c>
    </row>
    <row r="522" spans="1:3" hidden="1" x14ac:dyDescent="0.25">
      <c r="A522" t="s">
        <v>74</v>
      </c>
      <c r="B522" s="38">
        <f>+B515-B484</f>
        <v>0</v>
      </c>
    </row>
    <row r="523" spans="1:3" hidden="1" x14ac:dyDescent="0.25">
      <c r="A523" t="s">
        <v>75</v>
      </c>
      <c r="B523" s="38">
        <f>B516-B506</f>
        <v>0</v>
      </c>
    </row>
    <row r="524" spans="1:3" ht="15.75" hidden="1" thickBot="1" x14ac:dyDescent="0.3">
      <c r="A524" s="9"/>
      <c r="B524" s="9"/>
      <c r="C524" s="9"/>
    </row>
    <row r="525" spans="1:3" hidden="1" x14ac:dyDescent="0.25"/>
    <row r="526" spans="1:3" hidden="1" x14ac:dyDescent="0.25">
      <c r="A526" s="10" t="s">
        <v>53</v>
      </c>
      <c r="B526" s="61">
        <f>$B$3</f>
        <v>0</v>
      </c>
    </row>
    <row r="527" spans="1:3" hidden="1" x14ac:dyDescent="0.25">
      <c r="A527" s="10" t="s">
        <v>54</v>
      </c>
      <c r="B527" s="61">
        <f>$B$4</f>
        <v>0.3</v>
      </c>
    </row>
    <row r="528" spans="1:3" hidden="1" x14ac:dyDescent="0.25"/>
    <row r="529" spans="1:3" hidden="1" x14ac:dyDescent="0.25">
      <c r="A529" s="17" t="s">
        <v>69</v>
      </c>
      <c r="B529" s="35" t="s">
        <v>34</v>
      </c>
    </row>
    <row r="530" spans="1:3" hidden="1" x14ac:dyDescent="0.25">
      <c r="A530" s="19"/>
      <c r="B530" s="20"/>
    </row>
    <row r="531" spans="1:3" hidden="1" x14ac:dyDescent="0.25">
      <c r="A531" s="19" t="s">
        <v>55</v>
      </c>
      <c r="B531" s="33">
        <f>B500</f>
        <v>0</v>
      </c>
    </row>
    <row r="532" spans="1:3" hidden="1" x14ac:dyDescent="0.25">
      <c r="A532" s="19" t="s">
        <v>56</v>
      </c>
      <c r="B532" s="33">
        <f>B501</f>
        <v>0</v>
      </c>
    </row>
    <row r="533" spans="1:3" hidden="1" x14ac:dyDescent="0.25">
      <c r="A533" s="19" t="s">
        <v>57</v>
      </c>
      <c r="B533" s="33">
        <f>B502</f>
        <v>0</v>
      </c>
    </row>
    <row r="534" spans="1:3" hidden="1" x14ac:dyDescent="0.25">
      <c r="A534" s="19" t="s">
        <v>58</v>
      </c>
      <c r="B534" s="33">
        <f>B503</f>
        <v>0</v>
      </c>
    </row>
    <row r="535" spans="1:3" hidden="1" x14ac:dyDescent="0.25">
      <c r="A535" s="19" t="s">
        <v>65</v>
      </c>
      <c r="B535" s="22">
        <f>B514</f>
        <v>0</v>
      </c>
      <c r="C535" s="28" t="e">
        <f>B535/B537</f>
        <v>#DIV/0!</v>
      </c>
    </row>
    <row r="536" spans="1:3" hidden="1" x14ac:dyDescent="0.25">
      <c r="A536" s="23" t="s">
        <v>66</v>
      </c>
      <c r="B536" s="24">
        <f>B515</f>
        <v>0</v>
      </c>
    </row>
    <row r="537" spans="1:3" ht="15.75" hidden="1" thickBot="1" x14ac:dyDescent="0.3">
      <c r="A537" s="36" t="s">
        <v>59</v>
      </c>
      <c r="B537" s="37">
        <f>B536+B531</f>
        <v>0</v>
      </c>
    </row>
    <row r="538" spans="1:3" ht="15.75" hidden="1" thickTop="1" x14ac:dyDescent="0.25"/>
    <row r="539" spans="1:3" hidden="1" x14ac:dyDescent="0.25">
      <c r="A539" s="17" t="s">
        <v>62</v>
      </c>
      <c r="B539" s="18"/>
    </row>
    <row r="540" spans="1:3" hidden="1" x14ac:dyDescent="0.25">
      <c r="A540" s="26"/>
      <c r="B540" s="27"/>
    </row>
    <row r="541" spans="1:3" hidden="1" x14ac:dyDescent="0.25">
      <c r="A541" s="19" t="s">
        <v>63</v>
      </c>
      <c r="B541" s="22">
        <f>B537*B527</f>
        <v>0</v>
      </c>
    </row>
    <row r="542" spans="1:3" hidden="1" x14ac:dyDescent="0.25">
      <c r="A542" s="19" t="s">
        <v>67</v>
      </c>
      <c r="B542" s="22">
        <f>B534*B526</f>
        <v>0</v>
      </c>
    </row>
    <row r="543" spans="1:3" hidden="1" x14ac:dyDescent="0.25">
      <c r="A543" s="19" t="s">
        <v>64</v>
      </c>
      <c r="B543" s="22">
        <f>SUM('Subaward&amp;Exclusion Worksheet'!6:6)</f>
        <v>0</v>
      </c>
    </row>
    <row r="544" spans="1:3" hidden="1" x14ac:dyDescent="0.25">
      <c r="A544" s="19" t="s">
        <v>68</v>
      </c>
      <c r="B544" s="22">
        <f>B543+B542</f>
        <v>0</v>
      </c>
    </row>
    <row r="545" spans="1:3" hidden="1" x14ac:dyDescent="0.25">
      <c r="A545" s="19" t="s">
        <v>65</v>
      </c>
      <c r="B545" s="22">
        <f>IF(B541&lt;(B542+B543),B541,(B542+B543))</f>
        <v>0</v>
      </c>
      <c r="C545" t="str">
        <f>IF(B545=B541,"TFFA","MTDC")</f>
        <v>TFFA</v>
      </c>
    </row>
    <row r="546" spans="1:3" hidden="1" x14ac:dyDescent="0.25">
      <c r="A546" s="23" t="s">
        <v>66</v>
      </c>
      <c r="B546" s="24">
        <f>B545-B543</f>
        <v>0</v>
      </c>
    </row>
    <row r="547" spans="1:3" ht="15.75" hidden="1" thickBot="1" x14ac:dyDescent="0.3">
      <c r="A547" s="36" t="s">
        <v>76</v>
      </c>
      <c r="B547" s="37">
        <f>B546+B531</f>
        <v>0</v>
      </c>
    </row>
    <row r="548" spans="1:3" ht="16.5" hidden="1" thickTop="1" thickBot="1" x14ac:dyDescent="0.3"/>
    <row r="549" spans="1:3" ht="16.5" hidden="1" thickTop="1" thickBot="1" x14ac:dyDescent="0.3">
      <c r="A549" s="29" t="s">
        <v>70</v>
      </c>
      <c r="B549" s="30" t="e">
        <f>+B546/B534</f>
        <v>#DIV/0!</v>
      </c>
    </row>
    <row r="550" spans="1:3" ht="16.5" hidden="1" thickTop="1" thickBot="1" x14ac:dyDescent="0.3">
      <c r="A550" s="31" t="s">
        <v>71</v>
      </c>
      <c r="B550" s="32" t="e">
        <f>+B546/B531</f>
        <v>#DIV/0!</v>
      </c>
    </row>
    <row r="551" spans="1:3" ht="15.75" hidden="1" thickTop="1" x14ac:dyDescent="0.25"/>
    <row r="552" spans="1:3" hidden="1" x14ac:dyDescent="0.25">
      <c r="A552" t="s">
        <v>73</v>
      </c>
      <c r="B552" s="38">
        <f>B545-B514</f>
        <v>0</v>
      </c>
    </row>
    <row r="553" spans="1:3" hidden="1" x14ac:dyDescent="0.25">
      <c r="A553" t="s">
        <v>74</v>
      </c>
      <c r="B553" s="38">
        <f>+B546-B515</f>
        <v>0</v>
      </c>
    </row>
    <row r="554" spans="1:3" hidden="1" x14ac:dyDescent="0.25">
      <c r="A554" t="s">
        <v>75</v>
      </c>
      <c r="B554" s="38">
        <f>B547-B537</f>
        <v>0</v>
      </c>
    </row>
    <row r="555" spans="1:3" ht="15.75" hidden="1" thickBot="1" x14ac:dyDescent="0.3">
      <c r="A555" s="9"/>
      <c r="B555" s="9"/>
      <c r="C555" s="9"/>
    </row>
    <row r="556" spans="1:3" hidden="1" x14ac:dyDescent="0.25"/>
    <row r="557" spans="1:3" hidden="1" x14ac:dyDescent="0.25">
      <c r="A557" s="10" t="s">
        <v>53</v>
      </c>
      <c r="B557" s="61">
        <f>$B$3</f>
        <v>0</v>
      </c>
    </row>
    <row r="558" spans="1:3" hidden="1" x14ac:dyDescent="0.25">
      <c r="A558" s="10" t="s">
        <v>54</v>
      </c>
      <c r="B558" s="61">
        <f>$B$4</f>
        <v>0.3</v>
      </c>
    </row>
    <row r="559" spans="1:3" hidden="1" x14ac:dyDescent="0.25"/>
    <row r="560" spans="1:3" hidden="1" x14ac:dyDescent="0.25">
      <c r="A560" s="17" t="s">
        <v>69</v>
      </c>
      <c r="B560" s="35" t="s">
        <v>35</v>
      </c>
    </row>
    <row r="561" spans="1:3" hidden="1" x14ac:dyDescent="0.25">
      <c r="A561" s="19"/>
      <c r="B561" s="20"/>
    </row>
    <row r="562" spans="1:3" hidden="1" x14ac:dyDescent="0.25">
      <c r="A562" s="19" t="s">
        <v>55</v>
      </c>
      <c r="B562" s="33">
        <f>B531</f>
        <v>0</v>
      </c>
    </row>
    <row r="563" spans="1:3" hidden="1" x14ac:dyDescent="0.25">
      <c r="A563" s="19" t="s">
        <v>56</v>
      </c>
      <c r="B563" s="33">
        <f>B532</f>
        <v>0</v>
      </c>
    </row>
    <row r="564" spans="1:3" hidden="1" x14ac:dyDescent="0.25">
      <c r="A564" s="19" t="s">
        <v>57</v>
      </c>
      <c r="B564" s="33">
        <f>B533</f>
        <v>0</v>
      </c>
    </row>
    <row r="565" spans="1:3" hidden="1" x14ac:dyDescent="0.25">
      <c r="A565" s="19" t="s">
        <v>58</v>
      </c>
      <c r="B565" s="33">
        <f>B534</f>
        <v>0</v>
      </c>
    </row>
    <row r="566" spans="1:3" hidden="1" x14ac:dyDescent="0.25">
      <c r="A566" s="19" t="s">
        <v>65</v>
      </c>
      <c r="B566" s="22">
        <f>B545</f>
        <v>0</v>
      </c>
      <c r="C566" s="28" t="e">
        <f>B566/B568</f>
        <v>#DIV/0!</v>
      </c>
    </row>
    <row r="567" spans="1:3" hidden="1" x14ac:dyDescent="0.25">
      <c r="A567" s="23" t="s">
        <v>66</v>
      </c>
      <c r="B567" s="24">
        <f>B546</f>
        <v>0</v>
      </c>
    </row>
    <row r="568" spans="1:3" ht="15.75" hidden="1" thickBot="1" x14ac:dyDescent="0.3">
      <c r="A568" s="36" t="s">
        <v>59</v>
      </c>
      <c r="B568" s="37">
        <f>B567+B562</f>
        <v>0</v>
      </c>
    </row>
    <row r="569" spans="1:3" ht="15.75" hidden="1" thickTop="1" x14ac:dyDescent="0.25"/>
    <row r="570" spans="1:3" hidden="1" x14ac:dyDescent="0.25">
      <c r="A570" s="17" t="s">
        <v>62</v>
      </c>
      <c r="B570" s="18"/>
    </row>
    <row r="571" spans="1:3" hidden="1" x14ac:dyDescent="0.25">
      <c r="A571" s="26"/>
      <c r="B571" s="27"/>
    </row>
    <row r="572" spans="1:3" hidden="1" x14ac:dyDescent="0.25">
      <c r="A572" s="19" t="s">
        <v>63</v>
      </c>
      <c r="B572" s="22">
        <f>B568*B558</f>
        <v>0</v>
      </c>
    </row>
    <row r="573" spans="1:3" hidden="1" x14ac:dyDescent="0.25">
      <c r="A573" s="19" t="s">
        <v>67</v>
      </c>
      <c r="B573" s="22">
        <f>B565*B557</f>
        <v>0</v>
      </c>
    </row>
    <row r="574" spans="1:3" hidden="1" x14ac:dyDescent="0.25">
      <c r="A574" s="19" t="s">
        <v>64</v>
      </c>
      <c r="B574" s="22">
        <f>SUM('Subaward&amp;Exclusion Worksheet'!6:6)</f>
        <v>0</v>
      </c>
    </row>
    <row r="575" spans="1:3" hidden="1" x14ac:dyDescent="0.25">
      <c r="A575" s="19" t="s">
        <v>68</v>
      </c>
      <c r="B575" s="22">
        <f>B574+B573</f>
        <v>0</v>
      </c>
    </row>
    <row r="576" spans="1:3" hidden="1" x14ac:dyDescent="0.25">
      <c r="A576" s="19" t="s">
        <v>65</v>
      </c>
      <c r="B576" s="22">
        <f>IF(B572&lt;(B573+B574),B572,(B573+B574))</f>
        <v>0</v>
      </c>
      <c r="C576" t="str">
        <f>IF(B576=B572,"TFFA","MTDC")</f>
        <v>TFFA</v>
      </c>
    </row>
    <row r="577" spans="1:3" hidden="1" x14ac:dyDescent="0.25">
      <c r="A577" s="23" t="s">
        <v>66</v>
      </c>
      <c r="B577" s="24">
        <f>B576-B574</f>
        <v>0</v>
      </c>
    </row>
    <row r="578" spans="1:3" ht="15.75" hidden="1" thickBot="1" x14ac:dyDescent="0.3">
      <c r="A578" s="36" t="s">
        <v>76</v>
      </c>
      <c r="B578" s="37">
        <f>B577+B562</f>
        <v>0</v>
      </c>
    </row>
    <row r="579" spans="1:3" ht="16.5" hidden="1" thickTop="1" thickBot="1" x14ac:dyDescent="0.3"/>
    <row r="580" spans="1:3" ht="16.5" hidden="1" thickTop="1" thickBot="1" x14ac:dyDescent="0.3">
      <c r="A580" s="29" t="s">
        <v>70</v>
      </c>
      <c r="B580" s="30" t="e">
        <f>+B577/B565</f>
        <v>#DIV/0!</v>
      </c>
    </row>
    <row r="581" spans="1:3" ht="16.5" hidden="1" thickTop="1" thickBot="1" x14ac:dyDescent="0.3">
      <c r="A581" s="31" t="s">
        <v>71</v>
      </c>
      <c r="B581" s="32" t="e">
        <f>+B577/B562</f>
        <v>#DIV/0!</v>
      </c>
    </row>
    <row r="582" spans="1:3" ht="15.75" hidden="1" thickTop="1" x14ac:dyDescent="0.25"/>
    <row r="583" spans="1:3" hidden="1" x14ac:dyDescent="0.25">
      <c r="A583" t="s">
        <v>73</v>
      </c>
      <c r="B583" s="38">
        <f>B576-B545</f>
        <v>0</v>
      </c>
    </row>
    <row r="584" spans="1:3" hidden="1" x14ac:dyDescent="0.25">
      <c r="A584" t="s">
        <v>74</v>
      </c>
      <c r="B584" s="38">
        <f>+B577-B546</f>
        <v>0</v>
      </c>
    </row>
    <row r="585" spans="1:3" hidden="1" x14ac:dyDescent="0.25">
      <c r="A585" t="s">
        <v>75</v>
      </c>
      <c r="B585" s="38">
        <f>B578-B568</f>
        <v>0</v>
      </c>
    </row>
    <row r="586" spans="1:3" ht="15.75" hidden="1" thickBot="1" x14ac:dyDescent="0.3">
      <c r="A586" s="9"/>
      <c r="B586" s="9"/>
      <c r="C586" s="9"/>
    </row>
    <row r="587" spans="1:3" hidden="1" x14ac:dyDescent="0.25"/>
    <row r="588" spans="1:3" hidden="1" x14ac:dyDescent="0.25">
      <c r="A588" s="10" t="s">
        <v>53</v>
      </c>
      <c r="B588" s="61">
        <f>$B$3</f>
        <v>0</v>
      </c>
    </row>
    <row r="589" spans="1:3" hidden="1" x14ac:dyDescent="0.25">
      <c r="A589" s="10" t="s">
        <v>54</v>
      </c>
      <c r="B589" s="61">
        <f>$B$4</f>
        <v>0.3</v>
      </c>
    </row>
    <row r="590" spans="1:3" hidden="1" x14ac:dyDescent="0.25"/>
    <row r="591" spans="1:3" hidden="1" x14ac:dyDescent="0.25">
      <c r="A591" s="17" t="s">
        <v>69</v>
      </c>
      <c r="B591" s="35" t="s">
        <v>36</v>
      </c>
    </row>
    <row r="592" spans="1:3" hidden="1" x14ac:dyDescent="0.25">
      <c r="A592" s="19"/>
      <c r="B592" s="20"/>
    </row>
    <row r="593" spans="1:3" hidden="1" x14ac:dyDescent="0.25">
      <c r="A593" s="19" t="s">
        <v>55</v>
      </c>
      <c r="B593" s="33">
        <f>B562</f>
        <v>0</v>
      </c>
    </row>
    <row r="594" spans="1:3" hidden="1" x14ac:dyDescent="0.25">
      <c r="A594" s="19" t="s">
        <v>56</v>
      </c>
      <c r="B594" s="33">
        <f>B563</f>
        <v>0</v>
      </c>
    </row>
    <row r="595" spans="1:3" hidden="1" x14ac:dyDescent="0.25">
      <c r="A595" s="19" t="s">
        <v>57</v>
      </c>
      <c r="B595" s="33">
        <f>B564</f>
        <v>0</v>
      </c>
    </row>
    <row r="596" spans="1:3" hidden="1" x14ac:dyDescent="0.25">
      <c r="A596" s="19" t="s">
        <v>58</v>
      </c>
      <c r="B596" s="33">
        <f>B565</f>
        <v>0</v>
      </c>
    </row>
    <row r="597" spans="1:3" hidden="1" x14ac:dyDescent="0.25">
      <c r="A597" s="19" t="s">
        <v>65</v>
      </c>
      <c r="B597" s="22">
        <f>B576</f>
        <v>0</v>
      </c>
      <c r="C597" s="28" t="e">
        <f>B597/B599</f>
        <v>#DIV/0!</v>
      </c>
    </row>
    <row r="598" spans="1:3" hidden="1" x14ac:dyDescent="0.25">
      <c r="A598" s="23" t="s">
        <v>66</v>
      </c>
      <c r="B598" s="24">
        <f>B577</f>
        <v>0</v>
      </c>
    </row>
    <row r="599" spans="1:3" ht="15.75" hidden="1" thickBot="1" x14ac:dyDescent="0.3">
      <c r="A599" s="36" t="s">
        <v>59</v>
      </c>
      <c r="B599" s="37">
        <f>B598+B593</f>
        <v>0</v>
      </c>
    </row>
    <row r="600" spans="1:3" ht="15.75" hidden="1" thickTop="1" x14ac:dyDescent="0.25"/>
    <row r="601" spans="1:3" hidden="1" x14ac:dyDescent="0.25">
      <c r="A601" s="17" t="s">
        <v>62</v>
      </c>
      <c r="B601" s="18"/>
    </row>
    <row r="602" spans="1:3" hidden="1" x14ac:dyDescent="0.25">
      <c r="A602" s="26"/>
      <c r="B602" s="27"/>
    </row>
    <row r="603" spans="1:3" hidden="1" x14ac:dyDescent="0.25">
      <c r="A603" s="19" t="s">
        <v>63</v>
      </c>
      <c r="B603" s="22">
        <f>B599*B589</f>
        <v>0</v>
      </c>
    </row>
    <row r="604" spans="1:3" hidden="1" x14ac:dyDescent="0.25">
      <c r="A604" s="19" t="s">
        <v>67</v>
      </c>
      <c r="B604" s="22">
        <f>B596*B588</f>
        <v>0</v>
      </c>
    </row>
    <row r="605" spans="1:3" hidden="1" x14ac:dyDescent="0.25">
      <c r="A605" s="19" t="s">
        <v>64</v>
      </c>
      <c r="B605" s="22">
        <f>SUM('Subaward&amp;Exclusion Worksheet'!6:6)</f>
        <v>0</v>
      </c>
    </row>
    <row r="606" spans="1:3" hidden="1" x14ac:dyDescent="0.25">
      <c r="A606" s="19" t="s">
        <v>68</v>
      </c>
      <c r="B606" s="22">
        <f>B605+B604</f>
        <v>0</v>
      </c>
    </row>
    <row r="607" spans="1:3" hidden="1" x14ac:dyDescent="0.25">
      <c r="A607" s="19" t="s">
        <v>65</v>
      </c>
      <c r="B607" s="22">
        <f>IF(B603&lt;(B604+B605),B603,(B604+B605))</f>
        <v>0</v>
      </c>
      <c r="C607" t="str">
        <f>IF(B607=B603,"TFFA","MTDC")</f>
        <v>TFFA</v>
      </c>
    </row>
    <row r="608" spans="1:3" hidden="1" x14ac:dyDescent="0.25">
      <c r="A608" s="23" t="s">
        <v>66</v>
      </c>
      <c r="B608" s="24">
        <f>B607-B605</f>
        <v>0</v>
      </c>
    </row>
    <row r="609" spans="1:3" ht="15.75" hidden="1" thickBot="1" x14ac:dyDescent="0.3">
      <c r="A609" s="36" t="s">
        <v>76</v>
      </c>
      <c r="B609" s="37">
        <f>B608+B593</f>
        <v>0</v>
      </c>
    </row>
    <row r="610" spans="1:3" ht="16.5" hidden="1" thickTop="1" thickBot="1" x14ac:dyDescent="0.3"/>
    <row r="611" spans="1:3" ht="16.5" hidden="1" thickTop="1" thickBot="1" x14ac:dyDescent="0.3">
      <c r="A611" s="29" t="s">
        <v>70</v>
      </c>
      <c r="B611" s="30" t="e">
        <f>+B608/B596</f>
        <v>#DIV/0!</v>
      </c>
    </row>
    <row r="612" spans="1:3" ht="16.5" hidden="1" thickTop="1" thickBot="1" x14ac:dyDescent="0.3">
      <c r="A612" s="31" t="s">
        <v>71</v>
      </c>
      <c r="B612" s="32" t="e">
        <f>+B608/B593</f>
        <v>#DIV/0!</v>
      </c>
    </row>
    <row r="613" spans="1:3" ht="15.75" hidden="1" thickTop="1" x14ac:dyDescent="0.25"/>
    <row r="614" spans="1:3" hidden="1" x14ac:dyDescent="0.25">
      <c r="A614" t="s">
        <v>73</v>
      </c>
      <c r="B614" s="38">
        <f>B607-B576</f>
        <v>0</v>
      </c>
    </row>
    <row r="615" spans="1:3" hidden="1" x14ac:dyDescent="0.25">
      <c r="A615" t="s">
        <v>74</v>
      </c>
      <c r="B615" s="38">
        <f>+B608-B577</f>
        <v>0</v>
      </c>
    </row>
    <row r="616" spans="1:3" hidden="1" x14ac:dyDescent="0.25">
      <c r="A616" t="s">
        <v>75</v>
      </c>
      <c r="B616" s="38">
        <f>B609-B599</f>
        <v>0</v>
      </c>
    </row>
    <row r="617" spans="1:3" ht="15.75" hidden="1" thickBot="1" x14ac:dyDescent="0.3">
      <c r="A617" s="9"/>
      <c r="B617" s="9"/>
      <c r="C617" s="9"/>
    </row>
    <row r="618" spans="1:3" hidden="1" x14ac:dyDescent="0.25"/>
    <row r="619" spans="1:3" hidden="1" x14ac:dyDescent="0.25">
      <c r="A619" s="10" t="s">
        <v>53</v>
      </c>
      <c r="B619" s="61">
        <f>$B$3</f>
        <v>0</v>
      </c>
    </row>
    <row r="620" spans="1:3" hidden="1" x14ac:dyDescent="0.25">
      <c r="A620" s="10" t="s">
        <v>54</v>
      </c>
      <c r="B620" s="61">
        <f>$B$4</f>
        <v>0.3</v>
      </c>
    </row>
    <row r="621" spans="1:3" hidden="1" x14ac:dyDescent="0.25"/>
    <row r="622" spans="1:3" hidden="1" x14ac:dyDescent="0.25">
      <c r="A622" s="17" t="s">
        <v>69</v>
      </c>
      <c r="B622" s="35" t="s">
        <v>37</v>
      </c>
    </row>
    <row r="623" spans="1:3" hidden="1" x14ac:dyDescent="0.25">
      <c r="A623" s="19"/>
      <c r="B623" s="20"/>
    </row>
    <row r="624" spans="1:3" hidden="1" x14ac:dyDescent="0.25">
      <c r="A624" s="19" t="s">
        <v>55</v>
      </c>
      <c r="B624" s="33">
        <f>B593</f>
        <v>0</v>
      </c>
    </row>
    <row r="625" spans="1:3" hidden="1" x14ac:dyDescent="0.25">
      <c r="A625" s="19" t="s">
        <v>56</v>
      </c>
      <c r="B625" s="33">
        <f>B594</f>
        <v>0</v>
      </c>
    </row>
    <row r="626" spans="1:3" hidden="1" x14ac:dyDescent="0.25">
      <c r="A626" s="19" t="s">
        <v>57</v>
      </c>
      <c r="B626" s="33">
        <f>B595</f>
        <v>0</v>
      </c>
    </row>
    <row r="627" spans="1:3" hidden="1" x14ac:dyDescent="0.25">
      <c r="A627" s="19" t="s">
        <v>58</v>
      </c>
      <c r="B627" s="33">
        <f>B596</f>
        <v>0</v>
      </c>
    </row>
    <row r="628" spans="1:3" hidden="1" x14ac:dyDescent="0.25">
      <c r="A628" s="19" t="s">
        <v>65</v>
      </c>
      <c r="B628" s="22">
        <f>B607</f>
        <v>0</v>
      </c>
      <c r="C628" s="28" t="e">
        <f>B628/B630</f>
        <v>#DIV/0!</v>
      </c>
    </row>
    <row r="629" spans="1:3" hidden="1" x14ac:dyDescent="0.25">
      <c r="A629" s="23" t="s">
        <v>66</v>
      </c>
      <c r="B629" s="24">
        <f>B608</f>
        <v>0</v>
      </c>
    </row>
    <row r="630" spans="1:3" ht="15.75" hidden="1" thickBot="1" x14ac:dyDescent="0.3">
      <c r="A630" s="36" t="s">
        <v>59</v>
      </c>
      <c r="B630" s="37">
        <f>B629+B624</f>
        <v>0</v>
      </c>
    </row>
    <row r="631" spans="1:3" ht="15.75" hidden="1" thickTop="1" x14ac:dyDescent="0.25"/>
    <row r="632" spans="1:3" hidden="1" x14ac:dyDescent="0.25">
      <c r="A632" s="17" t="s">
        <v>62</v>
      </c>
      <c r="B632" s="18"/>
    </row>
    <row r="633" spans="1:3" hidden="1" x14ac:dyDescent="0.25">
      <c r="A633" s="26"/>
      <c r="B633" s="27"/>
    </row>
    <row r="634" spans="1:3" hidden="1" x14ac:dyDescent="0.25">
      <c r="A634" s="19" t="s">
        <v>63</v>
      </c>
      <c r="B634" s="22">
        <f>B630*B620</f>
        <v>0</v>
      </c>
    </row>
    <row r="635" spans="1:3" hidden="1" x14ac:dyDescent="0.25">
      <c r="A635" s="19" t="s">
        <v>67</v>
      </c>
      <c r="B635" s="22">
        <f>B627*B619</f>
        <v>0</v>
      </c>
    </row>
    <row r="636" spans="1:3" hidden="1" x14ac:dyDescent="0.25">
      <c r="A636" s="19" t="s">
        <v>64</v>
      </c>
      <c r="B636" s="22">
        <f>SUM('Subaward&amp;Exclusion Worksheet'!6:6)</f>
        <v>0</v>
      </c>
    </row>
    <row r="637" spans="1:3" hidden="1" x14ac:dyDescent="0.25">
      <c r="A637" s="19" t="s">
        <v>68</v>
      </c>
      <c r="B637" s="22">
        <f>B636+B635</f>
        <v>0</v>
      </c>
    </row>
    <row r="638" spans="1:3" hidden="1" x14ac:dyDescent="0.25">
      <c r="A638" s="19" t="s">
        <v>65</v>
      </c>
      <c r="B638" s="22">
        <f>IF(B634&lt;(B635+B636),B634,(B635+B636))</f>
        <v>0</v>
      </c>
      <c r="C638" t="str">
        <f>IF(B638=B634,"TFFA","MTDC")</f>
        <v>TFFA</v>
      </c>
    </row>
    <row r="639" spans="1:3" hidden="1" x14ac:dyDescent="0.25">
      <c r="A639" s="23" t="s">
        <v>66</v>
      </c>
      <c r="B639" s="24">
        <f>B638-B636</f>
        <v>0</v>
      </c>
    </row>
    <row r="640" spans="1:3" ht="15.75" hidden="1" thickBot="1" x14ac:dyDescent="0.3">
      <c r="A640" s="36" t="s">
        <v>76</v>
      </c>
      <c r="B640" s="37">
        <f>B639+B624</f>
        <v>0</v>
      </c>
    </row>
    <row r="641" spans="1:3" ht="16.5" hidden="1" thickTop="1" thickBot="1" x14ac:dyDescent="0.3"/>
    <row r="642" spans="1:3" ht="16.5" hidden="1" thickTop="1" thickBot="1" x14ac:dyDescent="0.3">
      <c r="A642" s="29" t="s">
        <v>70</v>
      </c>
      <c r="B642" s="30" t="e">
        <f>+B639/B627</f>
        <v>#DIV/0!</v>
      </c>
    </row>
    <row r="643" spans="1:3" ht="16.5" hidden="1" thickTop="1" thickBot="1" x14ac:dyDescent="0.3">
      <c r="A643" s="31" t="s">
        <v>71</v>
      </c>
      <c r="B643" s="32" t="e">
        <f>+B639/B624</f>
        <v>#DIV/0!</v>
      </c>
    </row>
    <row r="644" spans="1:3" ht="15.75" hidden="1" thickTop="1" x14ac:dyDescent="0.25"/>
    <row r="645" spans="1:3" hidden="1" x14ac:dyDescent="0.25">
      <c r="A645" t="s">
        <v>73</v>
      </c>
      <c r="B645" s="38">
        <f>B638-B607</f>
        <v>0</v>
      </c>
    </row>
    <row r="646" spans="1:3" hidden="1" x14ac:dyDescent="0.25">
      <c r="A646" t="s">
        <v>74</v>
      </c>
      <c r="B646" s="38">
        <f>+B639-B608</f>
        <v>0</v>
      </c>
    </row>
    <row r="647" spans="1:3" hidden="1" x14ac:dyDescent="0.25">
      <c r="A647" t="s">
        <v>75</v>
      </c>
      <c r="B647" s="38">
        <f>B640-B630</f>
        <v>0</v>
      </c>
    </row>
    <row r="648" spans="1:3" ht="15.75" hidden="1" thickBot="1" x14ac:dyDescent="0.3">
      <c r="A648" s="9"/>
      <c r="B648" s="9"/>
      <c r="C648" s="9"/>
    </row>
    <row r="649" spans="1:3" hidden="1" x14ac:dyDescent="0.25"/>
    <row r="650" spans="1:3" hidden="1" x14ac:dyDescent="0.25">
      <c r="A650" s="40" t="s">
        <v>53</v>
      </c>
      <c r="B650" s="61">
        <f>$B$3</f>
        <v>0</v>
      </c>
      <c r="C650" s="41"/>
    </row>
    <row r="651" spans="1:3" hidden="1" x14ac:dyDescent="0.25">
      <c r="A651" s="40" t="s">
        <v>54</v>
      </c>
      <c r="B651" s="61">
        <f>$B$4</f>
        <v>0.3</v>
      </c>
      <c r="C651" s="41"/>
    </row>
    <row r="653" spans="1:3" x14ac:dyDescent="0.25">
      <c r="A653" s="17" t="s">
        <v>69</v>
      </c>
      <c r="B653" s="35"/>
    </row>
    <row r="654" spans="1:3" x14ac:dyDescent="0.25">
      <c r="A654" s="19"/>
      <c r="B654" s="20"/>
    </row>
    <row r="655" spans="1:3" x14ac:dyDescent="0.25">
      <c r="A655" s="19" t="s">
        <v>55</v>
      </c>
      <c r="B655" s="33">
        <f>B624</f>
        <v>0</v>
      </c>
    </row>
    <row r="656" spans="1:3" x14ac:dyDescent="0.25">
      <c r="A656" s="19" t="s">
        <v>56</v>
      </c>
      <c r="B656" s="33">
        <f>B625</f>
        <v>0</v>
      </c>
    </row>
    <row r="657" spans="1:4" x14ac:dyDescent="0.25">
      <c r="A657" s="19" t="s">
        <v>57</v>
      </c>
      <c r="B657" s="33">
        <f>B626</f>
        <v>0</v>
      </c>
    </row>
    <row r="658" spans="1:4" x14ac:dyDescent="0.25">
      <c r="A658" s="19" t="s">
        <v>58</v>
      </c>
      <c r="B658" s="33">
        <f>B627</f>
        <v>0</v>
      </c>
    </row>
    <row r="659" spans="1:4" x14ac:dyDescent="0.25">
      <c r="A659" s="19" t="s">
        <v>65</v>
      </c>
      <c r="B659" s="22">
        <f>B638</f>
        <v>0</v>
      </c>
      <c r="C659" s="28"/>
    </row>
    <row r="660" spans="1:4" x14ac:dyDescent="0.25">
      <c r="A660" s="23" t="s">
        <v>66</v>
      </c>
      <c r="B660" s="24">
        <f>B639</f>
        <v>0</v>
      </c>
    </row>
    <row r="661" spans="1:4" ht="15.75" thickBot="1" x14ac:dyDescent="0.3">
      <c r="A661" s="36" t="s">
        <v>59</v>
      </c>
      <c r="B661" s="74">
        <f>B660+B655</f>
        <v>0</v>
      </c>
    </row>
    <row r="662" spans="1:4" ht="15.75" thickTop="1" x14ac:dyDescent="0.25">
      <c r="A662" s="71" t="s">
        <v>111</v>
      </c>
      <c r="B662" s="28" t="e">
        <f>B659/B661</f>
        <v>#DIV/0!</v>
      </c>
      <c r="D662" s="38"/>
    </row>
    <row r="663" spans="1:4" hidden="1" x14ac:dyDescent="0.25">
      <c r="A663" s="72"/>
      <c r="B663" s="73"/>
    </row>
    <row r="664" spans="1:4" hidden="1" x14ac:dyDescent="0.25"/>
    <row r="665" spans="1:4" hidden="1" x14ac:dyDescent="0.25">
      <c r="A665" s="17" t="s">
        <v>62</v>
      </c>
      <c r="B665" s="18"/>
    </row>
    <row r="666" spans="1:4" hidden="1" x14ac:dyDescent="0.25">
      <c r="A666" s="26"/>
      <c r="B666" s="27"/>
    </row>
    <row r="667" spans="1:4" hidden="1" x14ac:dyDescent="0.25">
      <c r="A667" s="19" t="s">
        <v>63</v>
      </c>
      <c r="B667" s="22">
        <f>B661*B651</f>
        <v>0</v>
      </c>
    </row>
    <row r="668" spans="1:4" hidden="1" x14ac:dyDescent="0.25">
      <c r="A668" s="19" t="s">
        <v>67</v>
      </c>
      <c r="B668" s="22">
        <f>B658*B650</f>
        <v>0</v>
      </c>
    </row>
    <row r="669" spans="1:4" hidden="1" x14ac:dyDescent="0.25">
      <c r="A669" s="19" t="s">
        <v>64</v>
      </c>
      <c r="B669" s="22">
        <f>SUM('Subaward&amp;Exclusion Worksheet'!6:6)</f>
        <v>0</v>
      </c>
    </row>
    <row r="670" spans="1:4" hidden="1" x14ac:dyDescent="0.25">
      <c r="A670" s="19" t="s">
        <v>68</v>
      </c>
      <c r="B670" s="22">
        <f>B669+B668</f>
        <v>0</v>
      </c>
    </row>
    <row r="671" spans="1:4" hidden="1" x14ac:dyDescent="0.25">
      <c r="A671" s="19" t="s">
        <v>65</v>
      </c>
      <c r="B671" s="22">
        <f>IF(B667&lt;(B668+B669),B667,(B668+B669))</f>
        <v>0</v>
      </c>
      <c r="C671" s="58" t="str">
        <f>IF(B671=B667,"TFFA","MTDC")</f>
        <v>TFFA</v>
      </c>
    </row>
    <row r="672" spans="1:4" hidden="1" x14ac:dyDescent="0.25">
      <c r="A672" s="23" t="s">
        <v>66</v>
      </c>
      <c r="B672" s="24">
        <f>B671-B669</f>
        <v>0</v>
      </c>
    </row>
    <row r="673" spans="1:3" ht="15.75" hidden="1" thickBot="1" x14ac:dyDescent="0.3">
      <c r="A673" s="36" t="s">
        <v>76</v>
      </c>
      <c r="B673" s="37">
        <f>B672+B655</f>
        <v>0</v>
      </c>
    </row>
    <row r="674" spans="1:3" x14ac:dyDescent="0.25">
      <c r="A674" s="71"/>
      <c r="B674" s="73"/>
    </row>
    <row r="675" spans="1:3" ht="15.75" thickBot="1" x14ac:dyDescent="0.3">
      <c r="A675" s="77" t="s">
        <v>117</v>
      </c>
      <c r="B675" s="75" t="str">
        <f>IF(B671=B667,"TDC","MTDC")</f>
        <v>TDC</v>
      </c>
    </row>
    <row r="676" spans="1:3" ht="16.5" thickTop="1" thickBot="1" x14ac:dyDescent="0.3">
      <c r="A676" s="29" t="s">
        <v>70</v>
      </c>
      <c r="B676" s="30" t="e">
        <f>+B672/B658</f>
        <v>#DIV/0!</v>
      </c>
    </row>
    <row r="677" spans="1:3" ht="16.5" thickTop="1" thickBot="1" x14ac:dyDescent="0.3">
      <c r="A677" s="31" t="s">
        <v>71</v>
      </c>
      <c r="B677" s="32" t="e">
        <f>+B672/B655</f>
        <v>#DIV/0!</v>
      </c>
    </row>
    <row r="678" spans="1:3" ht="15.75" hidden="1" thickTop="1" x14ac:dyDescent="0.25"/>
    <row r="679" spans="1:3" hidden="1" x14ac:dyDescent="0.25">
      <c r="A679" t="s">
        <v>73</v>
      </c>
      <c r="B679" s="38">
        <f>B671-B638</f>
        <v>0</v>
      </c>
    </row>
    <row r="680" spans="1:3" hidden="1" x14ac:dyDescent="0.25">
      <c r="A680" t="s">
        <v>74</v>
      </c>
      <c r="B680" s="38">
        <f>+B672-B639</f>
        <v>0</v>
      </c>
    </row>
    <row r="681" spans="1:3" hidden="1" x14ac:dyDescent="0.25">
      <c r="A681" t="s">
        <v>75</v>
      </c>
      <c r="B681" s="38">
        <f>B673-B661</f>
        <v>0</v>
      </c>
    </row>
    <row r="682" spans="1:3" ht="16.5" hidden="1" thickTop="1" thickBot="1" x14ac:dyDescent="0.3">
      <c r="A682" s="9"/>
      <c r="B682" s="9"/>
      <c r="C682" s="9"/>
    </row>
    <row r="683" spans="1:3" hidden="1" x14ac:dyDescent="0.25"/>
    <row r="684" spans="1:3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4"/>
  <sheetViews>
    <sheetView zoomScale="91" zoomScaleNormal="91" workbookViewId="0"/>
  </sheetViews>
  <sheetFormatPr defaultRowHeight="15" x14ac:dyDescent="0.25"/>
  <cols>
    <col min="1" max="1" width="41.5703125" bestFit="1" customWidth="1"/>
    <col min="2" max="16" width="15.7109375" customWidth="1"/>
  </cols>
  <sheetData>
    <row r="1" spans="1:16" x14ac:dyDescent="0.25">
      <c r="A1" s="25" t="s">
        <v>61</v>
      </c>
    </row>
    <row r="3" spans="1:16" x14ac:dyDescent="0.25">
      <c r="A3" t="s">
        <v>49</v>
      </c>
      <c r="B3" t="s">
        <v>87</v>
      </c>
      <c r="C3" t="s">
        <v>88</v>
      </c>
      <c r="D3" t="s">
        <v>89</v>
      </c>
      <c r="E3" t="s">
        <v>90</v>
      </c>
      <c r="F3" t="s">
        <v>91</v>
      </c>
      <c r="G3" t="s">
        <v>92</v>
      </c>
      <c r="H3" t="s">
        <v>118</v>
      </c>
      <c r="I3" t="s">
        <v>119</v>
      </c>
      <c r="J3" t="s">
        <v>120</v>
      </c>
      <c r="K3" t="s">
        <v>121</v>
      </c>
      <c r="L3" t="s">
        <v>122</v>
      </c>
      <c r="M3" t="s">
        <v>123</v>
      </c>
      <c r="N3" t="s">
        <v>124</v>
      </c>
      <c r="O3" t="s">
        <v>125</v>
      </c>
      <c r="P3" t="s">
        <v>126</v>
      </c>
    </row>
    <row r="4" spans="1:16" x14ac:dyDescent="0.25">
      <c r="A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25">
      <c r="A5" t="s">
        <v>51</v>
      </c>
      <c r="B5" s="5">
        <f>B4*'NIFA F&amp;A Calculator (Proposal)'!B4</f>
        <v>0</v>
      </c>
      <c r="C5" s="5">
        <f>C4*'NIFA F&amp;A Calculator (Proposal)'!B4</f>
        <v>0</v>
      </c>
      <c r="D5" s="5">
        <f>D4*'NIFA F&amp;A Calculator (Proposal)'!B4</f>
        <v>0</v>
      </c>
      <c r="E5" s="5">
        <f>E4*'NIFA F&amp;A Calculator (Proposal)'!B4</f>
        <v>0</v>
      </c>
      <c r="F5" s="5">
        <f>F4*'NIFA F&amp;A Calculator (Proposal)'!B4</f>
        <v>0</v>
      </c>
      <c r="G5" s="5">
        <f>G4*'NIFA F&amp;A Calculator (Proposal)'!G4</f>
        <v>0</v>
      </c>
      <c r="H5" s="5">
        <f>H4*'NIFA F&amp;A Calculator (Proposal)'!H4</f>
        <v>0</v>
      </c>
      <c r="I5" s="5">
        <f>I4*'NIFA F&amp;A Calculator (Proposal)'!I4</f>
        <v>0</v>
      </c>
      <c r="J5" s="5">
        <f>J4*'NIFA F&amp;A Calculator (Proposal)'!J4</f>
        <v>0</v>
      </c>
      <c r="K5" s="5">
        <f>K4*'NIFA F&amp;A Calculator (Proposal)'!K4</f>
        <v>0</v>
      </c>
      <c r="L5" s="5">
        <f>L4*'NIFA F&amp;A Calculator (Proposal)'!L4</f>
        <v>0</v>
      </c>
      <c r="M5" s="5">
        <f>M4*'NIFA F&amp;A Calculator (Proposal)'!M4</f>
        <v>0</v>
      </c>
      <c r="N5" s="5">
        <f>N4*'NIFA F&amp;A Calculator (Proposal)'!N4</f>
        <v>0</v>
      </c>
      <c r="O5" s="5">
        <f>O4*'NIFA F&amp;A Calculator (Proposal)'!O4</f>
        <v>0</v>
      </c>
      <c r="P5" s="5">
        <f>P4*'NIFA F&amp;A Calculator (Proposal)'!P4</f>
        <v>0</v>
      </c>
    </row>
    <row r="6" spans="1:16" x14ac:dyDescent="0.25">
      <c r="A6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5">
      <c r="A7" t="s">
        <v>60</v>
      </c>
      <c r="B7" s="5">
        <f>IF(B4&gt;=25000,B4-25000,B4)</f>
        <v>0</v>
      </c>
      <c r="C7" s="5">
        <f>IF(C4&gt;=25000,C4-25000,C4)</f>
        <v>0</v>
      </c>
      <c r="D7" s="5">
        <f>IF(D4&gt;=25000,D4-25000,D4)</f>
        <v>0</v>
      </c>
      <c r="E7" s="5">
        <f>IF(E4&gt;=25000,E4-25000,E4)</f>
        <v>0</v>
      </c>
      <c r="F7" s="5">
        <f>IF(F4&gt;=25000,F4-25000,F4)</f>
        <v>0</v>
      </c>
      <c r="G7" s="5">
        <f t="shared" ref="G7:P7" si="0">IF(G4&gt;=25000,25000,G4)</f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</row>
    <row r="11" spans="1:16" x14ac:dyDescent="0.25">
      <c r="A11" s="25" t="s">
        <v>93</v>
      </c>
    </row>
    <row r="12" spans="1:16" x14ac:dyDescent="0.25">
      <c r="A12" s="25"/>
    </row>
    <row r="13" spans="1:16" x14ac:dyDescent="0.25">
      <c r="B13" t="s">
        <v>95</v>
      </c>
      <c r="C13" t="s">
        <v>96</v>
      </c>
      <c r="D13" t="s">
        <v>97</v>
      </c>
      <c r="E13" t="s">
        <v>98</v>
      </c>
      <c r="F13" t="s">
        <v>99</v>
      </c>
      <c r="G13" t="s">
        <v>100</v>
      </c>
    </row>
    <row r="14" spans="1:16" x14ac:dyDescent="0.25">
      <c r="A14" t="s">
        <v>94</v>
      </c>
      <c r="B14" s="14"/>
      <c r="C14" s="14"/>
      <c r="D14" s="14"/>
      <c r="E14" s="14"/>
      <c r="F14" s="14"/>
      <c r="G14" s="5">
        <f>SUM(B14:F14)</f>
        <v>0</v>
      </c>
    </row>
    <row r="15" spans="1:16" x14ac:dyDescent="0.25">
      <c r="A15" t="s">
        <v>101</v>
      </c>
      <c r="B15" s="14"/>
      <c r="C15" s="14"/>
      <c r="D15" s="14"/>
      <c r="E15" s="14"/>
      <c r="F15" s="14"/>
      <c r="G15" s="5">
        <f t="shared" ref="G15:G23" si="1">SUM(B15:F15)</f>
        <v>0</v>
      </c>
    </row>
    <row r="16" spans="1:16" x14ac:dyDescent="0.25">
      <c r="A16" t="s">
        <v>102</v>
      </c>
      <c r="B16" s="14"/>
      <c r="C16" s="14"/>
      <c r="D16" s="14"/>
      <c r="E16" s="14"/>
      <c r="F16" s="14"/>
      <c r="G16" s="5">
        <f t="shared" si="1"/>
        <v>0</v>
      </c>
    </row>
    <row r="17" spans="1:7" x14ac:dyDescent="0.25">
      <c r="A17" t="s">
        <v>103</v>
      </c>
      <c r="B17" s="14"/>
      <c r="C17" s="14"/>
      <c r="D17" s="14"/>
      <c r="E17" s="14"/>
      <c r="F17" s="14"/>
      <c r="G17" s="5">
        <f t="shared" si="1"/>
        <v>0</v>
      </c>
    </row>
    <row r="18" spans="1:7" x14ac:dyDescent="0.25">
      <c r="A18" t="s">
        <v>104</v>
      </c>
      <c r="B18" s="14"/>
      <c r="C18" s="14"/>
      <c r="D18" s="14"/>
      <c r="E18" s="14"/>
      <c r="F18" s="14"/>
      <c r="G18" s="5">
        <f t="shared" si="1"/>
        <v>0</v>
      </c>
    </row>
    <row r="19" spans="1:7" x14ac:dyDescent="0.25">
      <c r="A19" t="s">
        <v>105</v>
      </c>
      <c r="B19" s="14"/>
      <c r="C19" s="14"/>
      <c r="D19" s="14"/>
      <c r="E19" s="14"/>
      <c r="F19" s="14"/>
      <c r="G19" s="5">
        <f t="shared" si="1"/>
        <v>0</v>
      </c>
    </row>
    <row r="20" spans="1:7" x14ac:dyDescent="0.25">
      <c r="A20" t="s">
        <v>106</v>
      </c>
      <c r="B20" s="14"/>
      <c r="C20" s="14"/>
      <c r="D20" s="14"/>
      <c r="E20" s="14"/>
      <c r="F20" s="14"/>
      <c r="G20" s="5">
        <f t="shared" si="1"/>
        <v>0</v>
      </c>
    </row>
    <row r="21" spans="1:7" x14ac:dyDescent="0.25">
      <c r="A21" t="s">
        <v>107</v>
      </c>
      <c r="B21" s="14"/>
      <c r="C21" s="14"/>
      <c r="D21" s="14"/>
      <c r="E21" s="14"/>
      <c r="F21" s="14"/>
      <c r="G21" s="5">
        <f t="shared" si="1"/>
        <v>0</v>
      </c>
    </row>
    <row r="22" spans="1:7" x14ac:dyDescent="0.25">
      <c r="A22" t="s">
        <v>109</v>
      </c>
      <c r="B22" s="14"/>
      <c r="C22" s="14"/>
      <c r="D22" s="14"/>
      <c r="E22" s="14"/>
      <c r="F22" s="14"/>
      <c r="G22" s="5">
        <f t="shared" si="1"/>
        <v>0</v>
      </c>
    </row>
    <row r="23" spans="1:7" x14ac:dyDescent="0.25">
      <c r="A23" t="s">
        <v>108</v>
      </c>
      <c r="B23" s="14"/>
      <c r="C23" s="14"/>
      <c r="D23" s="14"/>
      <c r="E23" s="14"/>
      <c r="F23" s="14"/>
      <c r="G23" s="5">
        <f t="shared" si="1"/>
        <v>0</v>
      </c>
    </row>
    <row r="24" spans="1:7" x14ac:dyDescent="0.25">
      <c r="B24" s="5"/>
      <c r="C24" s="5"/>
      <c r="D24" s="5"/>
      <c r="E24" s="5"/>
      <c r="F24" s="5" t="s">
        <v>110</v>
      </c>
      <c r="G24" s="5">
        <f>SUM(G14:G23)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32"/>
  <sheetViews>
    <sheetView zoomScale="91" zoomScaleNormal="91" workbookViewId="0"/>
  </sheetViews>
  <sheetFormatPr defaultRowHeight="15" x14ac:dyDescent="0.25"/>
  <cols>
    <col min="1" max="1" width="35.7109375" bestFit="1" customWidth="1"/>
    <col min="2" max="2" width="12.28515625" bestFit="1" customWidth="1"/>
  </cols>
  <sheetData>
    <row r="1" spans="1:2" x14ac:dyDescent="0.25">
      <c r="A1" s="67" t="s">
        <v>84</v>
      </c>
      <c r="B1" s="68"/>
    </row>
    <row r="3" spans="1:2" x14ac:dyDescent="0.25">
      <c r="A3" s="10" t="s">
        <v>53</v>
      </c>
      <c r="B3" s="15"/>
    </row>
    <row r="4" spans="1:2" x14ac:dyDescent="0.25">
      <c r="A4" s="10" t="s">
        <v>54</v>
      </c>
      <c r="B4" s="16">
        <v>0.3</v>
      </c>
    </row>
    <row r="6" spans="1:2" x14ac:dyDescent="0.25">
      <c r="A6" s="17" t="s">
        <v>82</v>
      </c>
      <c r="B6" s="18"/>
    </row>
    <row r="7" spans="1:2" x14ac:dyDescent="0.25">
      <c r="A7" s="26"/>
      <c r="B7" s="27"/>
    </row>
    <row r="8" spans="1:2" x14ac:dyDescent="0.25">
      <c r="A8" s="19" t="s">
        <v>77</v>
      </c>
      <c r="B8" s="21"/>
    </row>
    <row r="9" spans="1:2" x14ac:dyDescent="0.25">
      <c r="A9" s="19" t="s">
        <v>55</v>
      </c>
      <c r="B9" s="22">
        <f>+B8-B13</f>
        <v>0</v>
      </c>
    </row>
    <row r="10" spans="1:2" x14ac:dyDescent="0.25">
      <c r="A10" s="19" t="s">
        <v>56</v>
      </c>
      <c r="B10" s="33">
        <f>'Subaward&amp;Exclusion Worksheet'!G24</f>
        <v>0</v>
      </c>
    </row>
    <row r="11" spans="1:2" x14ac:dyDescent="0.25">
      <c r="A11" s="19" t="s">
        <v>57</v>
      </c>
      <c r="B11" s="22">
        <f>SUM('Subaward&amp;Exclusion Worksheet'!7:7)</f>
        <v>0</v>
      </c>
    </row>
    <row r="12" spans="1:2" x14ac:dyDescent="0.25">
      <c r="A12" s="19" t="s">
        <v>58</v>
      </c>
      <c r="B12" s="22">
        <f>B9-B10-B11</f>
        <v>0</v>
      </c>
    </row>
    <row r="13" spans="1:2" x14ac:dyDescent="0.25">
      <c r="A13" s="39" t="s">
        <v>78</v>
      </c>
      <c r="B13" s="24">
        <f>B22</f>
        <v>0</v>
      </c>
    </row>
    <row r="14" spans="1:2" x14ac:dyDescent="0.25">
      <c r="B14" s="5"/>
    </row>
    <row r="15" spans="1:2" x14ac:dyDescent="0.25">
      <c r="A15" s="17" t="s">
        <v>62</v>
      </c>
      <c r="B15" s="65"/>
    </row>
    <row r="16" spans="1:2" x14ac:dyDescent="0.25">
      <c r="A16" s="26"/>
      <c r="B16" s="66"/>
    </row>
    <row r="17" spans="1:3" x14ac:dyDescent="0.25">
      <c r="A17" s="19" t="s">
        <v>63</v>
      </c>
      <c r="B17" s="22">
        <f>B8*B4</f>
        <v>0</v>
      </c>
    </row>
    <row r="18" spans="1:3" x14ac:dyDescent="0.25">
      <c r="A18" s="19" t="s">
        <v>67</v>
      </c>
      <c r="B18" s="22">
        <f>+(B8-B10-B11)-((B8-B10-B11)/(1+B3))</f>
        <v>0</v>
      </c>
    </row>
    <row r="19" spans="1:3" x14ac:dyDescent="0.25">
      <c r="A19" s="19" t="s">
        <v>64</v>
      </c>
      <c r="B19" s="22">
        <f>SUM('Subaward&amp;Exclusion Worksheet'!6:6)</f>
        <v>0</v>
      </c>
    </row>
    <row r="20" spans="1:3" x14ac:dyDescent="0.25">
      <c r="A20" s="19" t="s">
        <v>68</v>
      </c>
      <c r="B20" s="22">
        <f>B19+B18</f>
        <v>0</v>
      </c>
    </row>
    <row r="21" spans="1:3" x14ac:dyDescent="0.25">
      <c r="A21" s="19" t="s">
        <v>65</v>
      </c>
      <c r="B21" s="22">
        <f>IF(B17&lt;(B18+B19),B17,(B18+B19))</f>
        <v>0</v>
      </c>
      <c r="C21" s="28" t="e">
        <f>+B21/B8</f>
        <v>#DIV/0!</v>
      </c>
    </row>
    <row r="22" spans="1:3" x14ac:dyDescent="0.25">
      <c r="A22" s="23" t="s">
        <v>66</v>
      </c>
      <c r="B22" s="24">
        <f>B21-B19</f>
        <v>0</v>
      </c>
    </row>
    <row r="23" spans="1:3" x14ac:dyDescent="0.25">
      <c r="B23" s="5"/>
    </row>
    <row r="24" spans="1:3" x14ac:dyDescent="0.25">
      <c r="A24" s="17" t="s">
        <v>79</v>
      </c>
      <c r="B24" s="65"/>
    </row>
    <row r="25" spans="1:3" x14ac:dyDescent="0.25">
      <c r="A25" s="26"/>
      <c r="B25" s="66"/>
    </row>
    <row r="26" spans="1:3" x14ac:dyDescent="0.25">
      <c r="A26" s="19" t="s">
        <v>80</v>
      </c>
      <c r="B26" s="22">
        <f>B9-'NIFA F&amp;A Calculator (Proposal)'!B655</f>
        <v>0</v>
      </c>
    </row>
    <row r="27" spans="1:3" x14ac:dyDescent="0.25">
      <c r="A27" s="23" t="s">
        <v>81</v>
      </c>
      <c r="B27" s="24">
        <f>+B13-'NIFA F&amp;A Calculator (Proposal)'!B660</f>
        <v>0</v>
      </c>
    </row>
    <row r="29" spans="1:3" ht="15.75" thickBot="1" x14ac:dyDescent="0.3">
      <c r="A29" s="76" t="s">
        <v>117</v>
      </c>
      <c r="B29" s="75" t="str">
        <f>IF(B21=B17,"TDC","MTDC")</f>
        <v>TDC</v>
      </c>
    </row>
    <row r="30" spans="1:3" ht="16.5" thickTop="1" thickBot="1" x14ac:dyDescent="0.3">
      <c r="A30" s="29" t="s">
        <v>70</v>
      </c>
      <c r="B30" s="30" t="e">
        <f>B13/B12</f>
        <v>#DIV/0!</v>
      </c>
    </row>
    <row r="31" spans="1:3" ht="16.5" thickTop="1" thickBot="1" x14ac:dyDescent="0.3">
      <c r="A31" s="31" t="s">
        <v>71</v>
      </c>
      <c r="B31" s="32" t="e">
        <f>B13/B9</f>
        <v>#DIV/0!</v>
      </c>
    </row>
    <row r="32" spans="1:3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NIFA F&amp;A Calculator (Proposal)</vt:lpstr>
      <vt:lpstr>Subaward&amp;Exclusion Worksheet</vt:lpstr>
      <vt:lpstr>NIFA F&amp;A Calculator (Award)</vt:lpstr>
    </vt:vector>
  </TitlesOfParts>
  <Company>University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Metayer</dc:creator>
  <cp:lastModifiedBy>Catherine Condon</cp:lastModifiedBy>
  <dcterms:created xsi:type="dcterms:W3CDTF">2019-09-24T15:14:25Z</dcterms:created>
  <dcterms:modified xsi:type="dcterms:W3CDTF">2020-03-05T20:06:49Z</dcterms:modified>
</cp:coreProperties>
</file>