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9"/>
  <workbookPr defaultThemeVersion="166925"/>
  <mc:AlternateContent xmlns:mc="http://schemas.openxmlformats.org/markup-compatibility/2006">
    <mc:Choice Requires="x15">
      <x15ac:absPath xmlns:x15ac="http://schemas.microsoft.com/office/spreadsheetml/2010/11/ac" url="/Users/dbhguru/Desktop/VOLUMES-TRUNK&amp;LIMBS/"/>
    </mc:Choice>
  </mc:AlternateContent>
  <xr:revisionPtr revIDLastSave="0" documentId="8_{8157884E-9574-9C44-9A5E-DFD174598999}" xr6:coauthVersionLast="36" xr6:coauthVersionMax="36" xr10:uidLastSave="{00000000-0000-0000-0000-000000000000}"/>
  <bookViews>
    <workbookView xWindow="2940" yWindow="1620" windowWidth="40280" windowHeight="26020" xr2:uid="{89AA59F0-B0F7-6846-92DB-F39F8F3AE6FD}"/>
  </bookViews>
  <sheets>
    <sheet name="BioMass" sheetId="3" r:id="rId1"/>
    <sheet name="Coeff_1" sheetId="1" r:id="rId2"/>
    <sheet name="Coeff_2" sheetId="2" r:id="rId3"/>
    <sheet name="FF Determination" sheetId="4"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3" l="1"/>
  <c r="T2" i="2"/>
  <c r="S2" i="2"/>
  <c r="V2" i="2" s="1"/>
  <c r="M2" i="2"/>
  <c r="L2" i="2"/>
  <c r="K2" i="2"/>
  <c r="J2" i="2"/>
  <c r="I2" i="2"/>
  <c r="N2" i="2" s="1"/>
  <c r="R2" i="2"/>
  <c r="U2" i="2" l="1"/>
  <c r="W2" i="2" s="1"/>
  <c r="Q2" i="2"/>
  <c r="O2" i="2"/>
  <c r="P2" i="2" s="1"/>
  <c r="K6" i="3"/>
  <c r="I2" i="3"/>
  <c r="K2" i="3"/>
  <c r="X2" i="2" l="1"/>
  <c r="L2" i="3"/>
  <c r="Y2" i="2" s="1"/>
  <c r="M27" i="2" l="1"/>
  <c r="P3" i="3" l="1"/>
  <c r="N27" i="2"/>
  <c r="N7" i="2" l="1"/>
  <c r="M11" i="2"/>
  <c r="R8" i="2"/>
  <c r="H42" i="3" l="1"/>
  <c r="J42" i="3"/>
  <c r="K42" i="3" l="1"/>
  <c r="I10" i="3" l="1"/>
  <c r="M12" i="3" l="1"/>
  <c r="M11" i="3"/>
  <c r="N12" i="3" l="1"/>
  <c r="M20" i="3" s="1"/>
  <c r="N11" i="3"/>
  <c r="M16" i="3" s="1"/>
  <c r="R7" i="2"/>
  <c r="L25" i="3"/>
  <c r="L16" i="3" l="1"/>
  <c r="N16" i="3" s="1"/>
  <c r="R9" i="2"/>
  <c r="G10" i="3"/>
  <c r="R6" i="2"/>
  <c r="H10" i="3" l="1"/>
  <c r="L7" i="3"/>
  <c r="R11" i="2"/>
  <c r="K4" i="3"/>
  <c r="L20" i="3" s="1"/>
  <c r="I3" i="3"/>
  <c r="L37" i="2"/>
  <c r="N3" i="3"/>
  <c r="M25" i="3"/>
  <c r="L38" i="2" l="1"/>
  <c r="L33" i="2"/>
  <c r="O6" i="3"/>
  <c r="N29" i="3" s="1"/>
  <c r="L13" i="2"/>
  <c r="L3" i="3"/>
  <c r="K5" i="3"/>
  <c r="K7" i="3" s="1"/>
  <c r="M7" i="3" s="1"/>
  <c r="N20" i="3"/>
  <c r="N22" i="3" s="1"/>
  <c r="L37" i="3"/>
  <c r="L31" i="2" l="1"/>
  <c r="P2" i="3"/>
  <c r="K10" i="3" s="1"/>
  <c r="L39" i="2"/>
  <c r="M3" i="3"/>
  <c r="O3" i="3" s="1"/>
  <c r="L30" i="2"/>
  <c r="L36" i="2"/>
  <c r="M36" i="2" s="1"/>
  <c r="M37" i="2" s="1"/>
  <c r="M38" i="2" s="1"/>
  <c r="N2" i="3" l="1"/>
  <c r="M2" i="3"/>
  <c r="N31" i="3" s="1"/>
  <c r="M39" i="2"/>
  <c r="M33" i="2"/>
  <c r="L34" i="2" s="1"/>
  <c r="O2" i="3" l="1"/>
  <c r="M41" i="2" s="1"/>
  <c r="M42" i="2" s="1"/>
  <c r="O7" i="3"/>
  <c r="N25" i="3"/>
  <c r="N27" i="3" s="1"/>
  <c r="O5" i="3" l="1"/>
  <c r="N34" i="3" l="1"/>
  <c r="N35" i="3" s="1"/>
  <c r="N36" i="3"/>
  <c r="K11" i="3" l="1"/>
  <c r="L38" i="3"/>
</calcChain>
</file>

<file path=xl/sharedStrings.xml><?xml version="1.0" encoding="utf-8"?>
<sst xmlns="http://schemas.openxmlformats.org/spreadsheetml/2006/main" count="214" uniqueCount="188">
  <si>
    <t>X</t>
  </si>
  <si>
    <t>E</t>
  </si>
  <si>
    <t>NIMS_2_1</t>
  </si>
  <si>
    <t>333</t>
  </si>
  <si>
    <t>NIMS_3_0</t>
  </si>
  <si>
    <t>2.4349</t>
  </si>
  <si>
    <t>-2.5356</t>
  </si>
  <si>
    <t>CULL                   (%)</t>
  </si>
  <si>
    <r>
      <t>VOLCFSND            (feet</t>
    </r>
    <r>
      <rPr>
        <b/>
        <vertAlign val="superscript"/>
        <sz val="10"/>
        <rFont val="Arial"/>
        <family val="2"/>
      </rPr>
      <t>3</t>
    </r>
    <r>
      <rPr>
        <b/>
        <sz val="10"/>
        <rFont val="Arial"/>
        <family val="2"/>
      </rPr>
      <t>)</t>
    </r>
  </si>
  <si>
    <t>DRYBIO_BOLE           (lbs)</t>
  </si>
  <si>
    <t>DRYBIO_TOP               (lbs)</t>
  </si>
  <si>
    <t>DRYBIO_STUMP                              (lbs)</t>
  </si>
  <si>
    <t>DRYBIOT               (lbs)</t>
  </si>
  <si>
    <t>FF</t>
  </si>
  <si>
    <t>DBH -outside bark (inch)</t>
  </si>
  <si>
    <r>
      <t>VOLCFGRS - inside bark            (feet</t>
    </r>
    <r>
      <rPr>
        <b/>
        <vertAlign val="superscript"/>
        <sz val="10"/>
        <rFont val="Arial"/>
        <family val="2"/>
      </rPr>
      <t>3</t>
    </r>
    <r>
      <rPr>
        <b/>
        <sz val="10"/>
        <rFont val="Arial"/>
        <family val="2"/>
      </rPr>
      <t>)</t>
    </r>
  </si>
  <si>
    <t>Bark Vol</t>
  </si>
  <si>
    <t>Stump Vol</t>
  </si>
  <si>
    <t>NTS  Trunk Vol</t>
  </si>
  <si>
    <t>DBH-ft</t>
  </si>
  <si>
    <t>Area-ft^2</t>
  </si>
  <si>
    <t>Hgt</t>
  </si>
  <si>
    <t>VOL-ft^3</t>
  </si>
  <si>
    <t>D1</t>
  </si>
  <si>
    <t>R1</t>
  </si>
  <si>
    <t>Vol</t>
  </si>
  <si>
    <t>Bole Vol (incl bark)</t>
  </si>
  <si>
    <t>Bole Mass</t>
  </si>
  <si>
    <t>Stem Density</t>
  </si>
  <si>
    <t>Stem Mass</t>
  </si>
  <si>
    <t>Bark Density</t>
  </si>
  <si>
    <t>Bark Mass</t>
  </si>
  <si>
    <t>Stump Mass</t>
  </si>
  <si>
    <t>Bole &amp; Stump Mass</t>
  </si>
  <si>
    <t>Stem Vol</t>
  </si>
  <si>
    <t xml:space="preserve">   </t>
  </si>
  <si>
    <t>SPCD</t>
  </si>
  <si>
    <t>COMMON_NAME</t>
  </si>
  <si>
    <t>GENUS</t>
  </si>
  <si>
    <t>SPECIES</t>
  </si>
  <si>
    <t>VARIETY</t>
  </si>
  <si>
    <t>SUBSPECIES</t>
  </si>
  <si>
    <t>SPECIES_SYMBOL</t>
  </si>
  <si>
    <t>E_SPGRPCD</t>
  </si>
  <si>
    <t>W_SPGRPCD</t>
  </si>
  <si>
    <t>MAJOR_SPGRPCD</t>
  </si>
  <si>
    <t>STOCKING_SPGRPCD</t>
  </si>
  <si>
    <t>FOREST_TYPE_SPGRPCD</t>
  </si>
  <si>
    <t>EXISTS_IN_NCRS</t>
  </si>
  <si>
    <t>EXISTS_IN_NERS</t>
  </si>
  <si>
    <t>EXISTS_IN_PNWRS</t>
  </si>
  <si>
    <t>EXISTS_IN_RMRS</t>
  </si>
  <si>
    <t>EXISTS_IN_SRS</t>
  </si>
  <si>
    <t>SITETREE</t>
  </si>
  <si>
    <t>SFTWD_HRDWD</t>
  </si>
  <si>
    <t>ST_EXISTS_IN_NCRS</t>
  </si>
  <si>
    <t>ST_EXISTS_IN_NERS</t>
  </si>
  <si>
    <t>ST_EXISTS_IN_PNWRS</t>
  </si>
  <si>
    <t>ST_EXISTS_IN_RMRS</t>
  </si>
  <si>
    <t>ST_EXISTS_IN_SRS</t>
  </si>
  <si>
    <t>EAST</t>
  </si>
  <si>
    <t>WEST</t>
  </si>
  <si>
    <t>WOODLAND</t>
  </si>
  <si>
    <t>MANUAL_START</t>
  </si>
  <si>
    <t>MANUAL_END</t>
  </si>
  <si>
    <t>CREATED_BY</t>
  </si>
  <si>
    <t>CREATED_DATE</t>
  </si>
  <si>
    <t>CREATED_IN_INSTANCE</t>
  </si>
  <si>
    <t>MODIFIED_BY</t>
  </si>
  <si>
    <t>MODIFIED_DATE</t>
  </si>
  <si>
    <t>MODIFIED_IN_INSTANCE</t>
  </si>
  <si>
    <t>CORE</t>
  </si>
  <si>
    <t>JENKINS_SPGRPCD</t>
  </si>
  <si>
    <t>JENKINS_TOTAL_B1</t>
  </si>
  <si>
    <t>JENKINS_TOTAL_B2</t>
  </si>
  <si>
    <t>JENKINS_STEM_WOOD_RATIO_B1</t>
  </si>
  <si>
    <t>JENKINS_STEM_WOOD_RATIO_B2</t>
  </si>
  <si>
    <t>JENKINS_STEM_BARK_RATIO_B1</t>
  </si>
  <si>
    <t>JENKINS_STEM_BARK_RATIO_B2</t>
  </si>
  <si>
    <t>JENKINS_FOLIAGE_RATIO_B1</t>
  </si>
  <si>
    <t>JENKINS_FOLIAGE_RATIO_B2</t>
  </si>
  <si>
    <t>JENKINS_ROOT_RATIO_B1</t>
  </si>
  <si>
    <t>JENKINS_ROOT_RATIO_B2</t>
  </si>
  <si>
    <t>JENKINS_SAPLING_ADJUSTMENT</t>
  </si>
  <si>
    <t>WOOD_SPGR_GREENVOL_DRYWT</t>
  </si>
  <si>
    <t>WOOD_SPGR_GREENVOL_DRYWT_CIT</t>
  </si>
  <si>
    <t>BARK_SPGR_GREENVOL_DRYWT</t>
  </si>
  <si>
    <t>BARK_SPGR_GREENVOL_DRYWT_CIT</t>
  </si>
  <si>
    <t>MC_PCT_GREEN_WOOD</t>
  </si>
  <si>
    <t>MC_PCT_GREEN_WOOD_CIT</t>
  </si>
  <si>
    <t>MC_PCT_GREEN_BARK</t>
  </si>
  <si>
    <t>MC_PCT_GREEN_BARK_CIT</t>
  </si>
  <si>
    <t>WOOD_SPGR_MC12VOL_DRYWT</t>
  </si>
  <si>
    <t>WOOD_SPGR_MC12VOL_DRYWT_CIT</t>
  </si>
  <si>
    <t>BARK_VOL_PCT</t>
  </si>
  <si>
    <t>BARK_VOL_PCT_CIT</t>
  </si>
  <si>
    <t>RAILE_STUMP_DOB_B1</t>
  </si>
  <si>
    <t>RAILE_STUMP_DIB_B1</t>
  </si>
  <si>
    <t>RAILE_STUMP_DIB_B2</t>
  </si>
  <si>
    <t>b (slope)</t>
  </si>
  <si>
    <t>stem_ratio</t>
  </si>
  <si>
    <t>bark_ratio</t>
  </si>
  <si>
    <t>foliage_ratio</t>
  </si>
  <si>
    <t>root_ratio</t>
  </si>
  <si>
    <t>Total_AG_biomass_Jenkins</t>
  </si>
  <si>
    <t>Stem_biomass_Jenkins</t>
  </si>
  <si>
    <t>Bark_biomass_Jenkins</t>
  </si>
  <si>
    <t>Bole_biomass_Jenkins</t>
  </si>
  <si>
    <t>Foliage_biomass_Jenkins</t>
  </si>
  <si>
    <t>Root_biomass_Jenkins</t>
  </si>
  <si>
    <t>Stump_vol_DIB</t>
  </si>
  <si>
    <t>Stump_vol_DOB</t>
  </si>
  <si>
    <t>Stump_Bark_biomass</t>
  </si>
  <si>
    <t>Stump_Wood_biomass</t>
  </si>
  <si>
    <t>Stump_Biomass</t>
  </si>
  <si>
    <t>Top_biomass_Jenkins</t>
  </si>
  <si>
    <t>AdjFac</t>
  </si>
  <si>
    <t>0.005454153*(BioMass!G2^2)*(1+(5.62462*Coeff_1!BJ2)+(8.50038*(Coeff_1!BJ2^2)))</t>
  </si>
  <si>
    <t>Stump Vol -OB</t>
  </si>
  <si>
    <t>Cir at base</t>
  </si>
  <si>
    <t>Radius at base</t>
  </si>
  <si>
    <t>DRYBIOT               (lbs) less foliage</t>
  </si>
  <si>
    <t>Foliage biomass</t>
  </si>
  <si>
    <t>Foliage  Mass</t>
  </si>
  <si>
    <t>Top biomass</t>
  </si>
  <si>
    <t>Top/Tot</t>
  </si>
  <si>
    <t>Top/(bole+stump)</t>
  </si>
  <si>
    <t>Stump Density</t>
  </si>
  <si>
    <t>Height  (feet)</t>
  </si>
  <si>
    <t>Enter data in green cells</t>
  </si>
  <si>
    <t>Wood Specific Gravity</t>
  </si>
  <si>
    <t>Bark Specific Gravity</t>
  </si>
  <si>
    <t>Wood density-lbs/ft^3</t>
  </si>
  <si>
    <t>Bark density-lbs/ft^3</t>
  </si>
  <si>
    <t>NTS Trunk &amp; Top Vol</t>
  </si>
  <si>
    <t>Estimated Stump Vol NTS</t>
  </si>
  <si>
    <t>Tot FIA Trunk Vol -ft^3</t>
  </si>
  <si>
    <t>FIA Components</t>
  </si>
  <si>
    <t>Tot Volume Bole &amp; Stump</t>
  </si>
  <si>
    <t>Tot Vol Bole, Top,Stump</t>
  </si>
  <si>
    <t xml:space="preserve"> (uses mass ratio to project tot vol)</t>
  </si>
  <si>
    <t>top/trunk</t>
  </si>
  <si>
    <t>Foliage ratio = EXP(Coeff_1!AS2+(Coeff_1!AT2/(BioMass!G2*2.54)))</t>
  </si>
  <si>
    <t>Coeff_1!AS2</t>
  </si>
  <si>
    <t>Coeff_1!AT2</t>
  </si>
  <si>
    <t>Foliage Biomass</t>
  </si>
  <si>
    <t>Foliage ratio = EXP(-2.9584+(4.4766/(2.54D)))</t>
  </si>
  <si>
    <t>=(EXP(Coeff_1!AM2+(Coeff_1!AN2*(LN(BioMass!G2*2.54)))))*2.2046</t>
  </si>
  <si>
    <t>Total  Biomass with foliage</t>
  </si>
  <si>
    <t>(J10 is either from direct modeling or a carryover from cell P2)</t>
  </si>
  <si>
    <t>(BioMass!G2)</t>
  </si>
  <si>
    <t>(D = DBH in inches)</t>
  </si>
  <si>
    <t>Coeff_1!AM2</t>
  </si>
  <si>
    <t>BioMass!G2</t>
  </si>
  <si>
    <t>Coeff_1!AN2</t>
  </si>
  <si>
    <t>Bole_Mass (BioMass)</t>
  </si>
  <si>
    <t>Stump_biomass</t>
  </si>
  <si>
    <t>AdJ-Fac</t>
  </si>
  <si>
    <t>BioMass Stump_biomass</t>
  </si>
  <si>
    <t>&lt;=== This is a separate calculation of the total by Jenkins</t>
  </si>
  <si>
    <t>This is a determination of bole biomass taking VOLCFGRS and adding bark vol</t>
  </si>
  <si>
    <t>Jenkins_Bole Biomass</t>
  </si>
  <si>
    <t>Jenkins_Foliage Biomass</t>
  </si>
  <si>
    <t>Jenkins_Stump Biomass</t>
  </si>
  <si>
    <t>Jenkins_Top_biomass</t>
  </si>
  <si>
    <t>Cumulative - Biomass</t>
  </si>
  <si>
    <t>DryBiot - BIOMASS</t>
  </si>
  <si>
    <t>Difference</t>
  </si>
  <si>
    <t>&lt; === this is unresolved</t>
  </si>
  <si>
    <t>Jenkin-Raile Equivalents</t>
  </si>
  <si>
    <t>(L3+M3+N3)</t>
  </si>
  <si>
    <t>Coeff_!M2</t>
  </si>
  <si>
    <t>Stem Ratio</t>
  </si>
  <si>
    <t>Bark Ratio</t>
  </si>
  <si>
    <t>Foliage Ratio</t>
  </si>
  <si>
    <t>Root Ratio</t>
  </si>
  <si>
    <t>Total Ratios</t>
  </si>
  <si>
    <t>Jenkins Ratios</t>
  </si>
  <si>
    <t>Value</t>
  </si>
  <si>
    <t>V =0.33363HD^2</t>
  </si>
  <si>
    <t>&lt; === form factor model approximating FIA amount</t>
  </si>
  <si>
    <t>320</t>
  </si>
  <si>
    <t>white oak</t>
  </si>
  <si>
    <t>Quercus</t>
  </si>
  <si>
    <t>alba</t>
  </si>
  <si>
    <t>QUAL</t>
  </si>
  <si>
    <t>H</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</si>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</sst>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00000"/>
    <numFmt numFmtId="165" formatCode="0.0"/>
    <numFmt numFmtId="166" formatCode="m/d/yyyy\ h:mm:ss\ AM/PM"/>
    <numFmt numFmtId="167" formatCode="0.00000"/>
    <numFmt numFmtId="168" formatCode="0.0000"/>
    <numFmt numFmtId="169" formatCode="0.000"/>
    <numFmt numFmtId="170" formatCode="0.000000"/>
    <numFmt numFmtId="171" formatCode="#,##0.00000"/>
    <numFmt numFmtId="172" formatCode="#,##0.0000"/>
  </numFmts>
  <fonts count="32">
    <font>
      <sz val="12"/>
      <color theme="1"/>
      <name val="Calibri"/>
      <family val="2"/>
      <scheme val="minor"/>
    </font>
    <font>
      <sz val="10"/>
      <name val="Arial"/>
      <family val="2"/>
    </font>
    <font>
      <sz val="10"/>
      <color rgb="FFFF0000"/>
      <name val="Arial"/>
      <family val="2"/>
    </font>
    <font>
      <b/>
      <sz val="12"/>
      <color theme="1"/>
      <name val="Calibri"/>
      <family val="2"/>
      <scheme val="minor"/>
    </font>
    <font>
      <sz val="10"/>
      <color indexed="8"/>
      <name val="Arial"/>
      <family val="2"/>
    </font>
    <font>
      <sz val="16"/>
      <color rgb="FFFF0000"/>
      <name val="Arial"/>
      <family val="2"/>
    </font>
    <font>
      <b/>
      <sz val="10"/>
      <name val="Arial"/>
      <family val="2"/>
    </font>
    <font>
      <b/>
      <vertAlign val="superscript"/>
      <sz val="10"/>
      <name val="Arial"/>
      <family val="2"/>
    </font>
    <font>
      <b/>
      <sz val="16"/>
      <color theme="1"/>
      <name val="Calibri"/>
      <family val="2"/>
      <scheme val="minor"/>
    </font>
    <font>
      <b/>
      <sz val="10"/>
      <color indexed="8"/>
      <name val="Microsoft Sans Serif"/>
      <family val="2"/>
    </font>
    <font>
      <sz val="14"/>
      <color theme="1"/>
      <name val="Calibri"/>
      <family val="2"/>
      <scheme val="minor"/>
    </font>
    <font>
      <sz val="16"/>
      <color theme="1"/>
      <name val="Arial"/>
      <family val="2"/>
    </font>
    <font>
      <b/>
      <sz val="18"/>
      <color theme="1"/>
      <name val="Calibri"/>
      <family val="2"/>
      <scheme val="minor"/>
    </font>
    <font>
      <b/>
      <sz val="14"/>
      <color theme="1"/>
      <name val="Calibri"/>
      <family val="2"/>
      <scheme val="minor"/>
    </font>
    <font>
      <b/>
      <sz val="16"/>
      <color rgb="FFFF0000"/>
      <name val="Calibri"/>
      <family val="2"/>
      <scheme val="minor"/>
    </font>
    <font>
      <sz val="12"/>
      <color rgb="FFFF0000"/>
      <name val="Calibri"/>
      <family val="2"/>
      <scheme val="minor"/>
    </font>
    <font>
      <sz val="16"/>
      <color rgb="FFFF0000"/>
      <name val="Microsoft Sans Serif"/>
      <family val="2"/>
    </font>
    <font>
      <b/>
      <sz val="12"/>
      <color rgb="FF7030A0"/>
      <name val="Calibri"/>
      <family val="2"/>
      <scheme val="minor"/>
    </font>
    <font>
      <b/>
      <sz val="14"/>
      <color rgb="FFFF0000"/>
      <name val="Calibri"/>
      <family val="2"/>
      <scheme val="minor"/>
    </font>
    <font>
      <b/>
      <sz val="20"/>
      <color rgb="FFFF0000"/>
      <name val="Calibri"/>
      <family val="2"/>
      <scheme val="minor"/>
    </font>
    <font>
      <b/>
      <sz val="20"/>
      <color rgb="FF7030A0"/>
      <name val="Calibri"/>
      <family val="2"/>
      <scheme val="minor"/>
    </font>
    <font>
      <b/>
      <sz val="12"/>
      <color indexed="8"/>
      <name val="Microsoft Sans Serif"/>
      <family val="2"/>
    </font>
    <font>
      <sz val="12"/>
      <color rgb="FFFF0000"/>
      <name val="Microsoft Sans Serif"/>
      <family val="2"/>
    </font>
    <font>
      <b/>
      <sz val="10"/>
      <color rgb="FFFF0000"/>
      <name val="Microsoft Sans Serif"/>
      <family val="2"/>
    </font>
    <font>
      <b/>
      <sz val="12"/>
      <color rgb="FFFF0000"/>
      <name val="Calibri"/>
      <family val="2"/>
      <scheme val="minor"/>
    </font>
    <font>
      <b/>
      <sz val="14"/>
      <name val="Arial"/>
      <family val="2"/>
    </font>
    <font>
      <sz val="10"/>
      <color indexed="8"/>
      <name val="Microsoft Sans Serif"/>
      <family val="2"/>
    </font>
    <font>
      <b/>
      <sz val="16"/>
      <color theme="1"/>
      <name val="Arial"/>
      <family val="2"/>
    </font>
    <font>
      <b/>
      <sz val="16"/>
      <color indexed="8"/>
      <name val="Microsoft Sans Serif"/>
      <family val="2"/>
    </font>
    <font>
      <b/>
      <sz val="16"/>
      <name val="Arial"/>
      <family val="2"/>
    </font>
    <font>
      <b/>
      <sz val="14"/>
      <color rgb="FF0070C0"/>
      <name val="Microsoft Sans Serif"/>
      <family val="2"/>
    </font>
    <font>
      <b/>
      <sz val="14"/>
      <color rgb="FF0070C0"/>
      <name val="Arial"/>
      <family val="2"/>
    </font>
  </fonts>
  <fills count="15">
    <fill>
      <patternFill patternType="none"/>
    </fill>
    <fill>
      <patternFill patternType="gray125"/>
    </fill>
    <fill>
      <patternFill patternType="solid">
        <fgColor indexed="22"/>
        <bgColor indexed="31"/>
      </patternFill>
    </fill>
    <fill>
      <patternFill patternType="solid">
        <fgColor indexed="15"/>
        <bgColor indexed="35"/>
      </patternFill>
    </fill>
    <fill>
      <patternFill patternType="solid">
        <fgColor rgb="FF92D050"/>
        <bgColor indexed="31"/>
      </patternFill>
    </fill>
    <fill>
      <patternFill patternType="solid">
        <fgColor theme="5" tint="0.79998168889431442"/>
        <bgColor indexed="64"/>
      </patternFill>
    </fill>
    <fill>
      <patternFill patternType="solid">
        <fgColor theme="0" tint="-0.249977111117893"/>
        <bgColor indexed="31"/>
      </patternFill>
    </fill>
    <fill>
      <patternFill patternType="solid">
        <fgColor theme="0" tint="-0.249977111117893"/>
        <bgColor indexed="64"/>
      </patternFill>
    </fill>
    <fill>
      <patternFill patternType="solid">
        <fgColor theme="5" tint="0.79998168889431442"/>
        <bgColor indexed="22"/>
      </patternFill>
    </fill>
    <fill>
      <patternFill patternType="solid">
        <fgColor theme="5" tint="0.79998168889431442"/>
        <bgColor indexed="35"/>
      </patternFill>
    </fill>
    <fill>
      <patternFill patternType="solid">
        <fgColor theme="5" tint="0.79998168889431442"/>
        <bgColor indexed="31"/>
      </patternFill>
    </fill>
    <fill>
      <patternFill patternType="solid">
        <fgColor rgb="FF92D050"/>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7" tint="0.79998168889431442"/>
        <bgColor indexed="35"/>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s>
  <cellStyleXfs count="3">
    <xf numFmtId="0" fontId="0" fillId="0" borderId="0"/>
    <xf numFmtId="0" fontId="1" fillId="0" borderId="0"/>
    <xf numFmtId="0" fontId="4" fillId="0" borderId="0"/>
  </cellStyleXfs>
  <cellXfs count="150">
    <xf numFmtId="0" fontId="0" fillId="0" borderId="0" xfId="0"/>
    <xf numFmtId="164" fontId="2" fillId="2" borderId="0" xfId="1" applyNumberFormat="1" applyFont="1" applyFill="1"/>
    <xf numFmtId="0" fontId="0" fillId="0" borderId="0" xfId="0" quotePrefix="1"/>
    <xf numFmtId="0" fontId="5" fillId="0" borderId="0" xfId="1" applyFont="1" applyFill="1"/>
    <xf numFmtId="0" fontId="4" fillId="0" borderId="0" xfId="2" applyFill="1"/>
    <xf numFmtId="0" fontId="9" fillId="3" borderId="0" xfId="2" applyNumberFormat="1" applyFont="1" applyFill="1"/>
    <xf numFmtId="0" fontId="9" fillId="3" borderId="0" xfId="2" applyNumberFormat="1" applyFont="1" applyFill="1" applyAlignment="1">
      <alignment horizontal="center"/>
    </xf>
    <xf numFmtId="0" fontId="6" fillId="3" borderId="0" xfId="1" applyFont="1" applyFill="1" applyAlignment="1">
      <alignment horizontal="center"/>
    </xf>
    <xf numFmtId="168" fontId="6" fillId="3" borderId="0" xfId="1" applyNumberFormat="1" applyFont="1" applyFill="1" applyAlignment="1">
      <alignment horizontal="center"/>
    </xf>
    <xf numFmtId="169" fontId="6" fillId="3" borderId="0" xfId="1" applyNumberFormat="1" applyFont="1" applyFill="1" applyAlignment="1">
      <alignment horizontal="center"/>
    </xf>
    <xf numFmtId="0" fontId="6" fillId="0" borderId="0" xfId="1" applyFont="1" applyFill="1" applyAlignment="1">
      <alignment horizontal="center"/>
    </xf>
    <xf numFmtId="0" fontId="0" fillId="5" borderId="4" xfId="0" applyFill="1" applyBorder="1"/>
    <xf numFmtId="0" fontId="8" fillId="5" borderId="6" xfId="0" applyFont="1" applyFill="1" applyBorder="1"/>
    <xf numFmtId="0" fontId="0" fillId="5" borderId="7" xfId="0" applyFill="1" applyBorder="1"/>
    <xf numFmtId="0" fontId="8" fillId="5" borderId="8" xfId="0" applyFont="1" applyFill="1" applyBorder="1"/>
    <xf numFmtId="0" fontId="0" fillId="5" borderId="1" xfId="0" applyFill="1" applyBorder="1"/>
    <xf numFmtId="0" fontId="8" fillId="5" borderId="14" xfId="0" applyFont="1" applyFill="1" applyBorder="1"/>
    <xf numFmtId="0" fontId="8" fillId="5" borderId="1" xfId="0" applyFont="1" applyFill="1" applyBorder="1" applyAlignment="1">
      <alignment horizontal="right"/>
    </xf>
    <xf numFmtId="0" fontId="8" fillId="5" borderId="3" xfId="0" applyFont="1" applyFill="1" applyBorder="1" applyAlignment="1">
      <alignment horizontal="right"/>
    </xf>
    <xf numFmtId="0" fontId="10" fillId="5" borderId="8" xfId="0" applyFont="1" applyFill="1" applyBorder="1"/>
    <xf numFmtId="0" fontId="10" fillId="5" borderId="14" xfId="0" applyFont="1" applyFill="1" applyBorder="1"/>
    <xf numFmtId="0" fontId="10" fillId="5" borderId="1" xfId="0" applyFont="1" applyFill="1" applyBorder="1"/>
    <xf numFmtId="0" fontId="10" fillId="5" borderId="3" xfId="0" applyFont="1" applyFill="1" applyBorder="1"/>
    <xf numFmtId="0" fontId="3" fillId="5" borderId="18" xfId="0" applyFont="1" applyFill="1" applyBorder="1" applyAlignment="1">
      <alignment horizontal="right"/>
    </xf>
    <xf numFmtId="0" fontId="3" fillId="5" borderId="19" xfId="0" applyFont="1" applyFill="1" applyBorder="1" applyAlignment="1">
      <alignment horizontal="right"/>
    </xf>
    <xf numFmtId="0" fontId="3" fillId="5" borderId="20" xfId="0" applyFont="1" applyFill="1" applyBorder="1" applyAlignment="1">
      <alignment horizontal="right"/>
    </xf>
    <xf numFmtId="165" fontId="0" fillId="5" borderId="15" xfId="0" applyNumberFormat="1" applyFill="1" applyBorder="1" applyAlignment="1">
      <alignment horizontal="right"/>
    </xf>
    <xf numFmtId="0" fontId="0" fillId="5" borderId="16" xfId="0" applyFill="1" applyBorder="1" applyAlignment="1">
      <alignment horizontal="right"/>
    </xf>
    <xf numFmtId="0" fontId="0" fillId="5" borderId="17" xfId="0" applyFill="1" applyBorder="1" applyAlignment="1">
      <alignment horizontal="right"/>
    </xf>
    <xf numFmtId="0" fontId="0" fillId="5" borderId="9" xfId="0" applyFill="1" applyBorder="1" applyAlignment="1">
      <alignment horizontal="right"/>
    </xf>
    <xf numFmtId="0" fontId="0" fillId="5" borderId="5" xfId="0" applyFill="1" applyBorder="1" applyAlignment="1">
      <alignment horizontal="right"/>
    </xf>
    <xf numFmtId="0" fontId="0" fillId="5" borderId="10" xfId="0" applyFill="1" applyBorder="1" applyAlignment="1">
      <alignment horizontal="right"/>
    </xf>
    <xf numFmtId="4" fontId="0" fillId="5" borderId="9" xfId="0" applyNumberFormat="1" applyFill="1" applyBorder="1" applyAlignment="1">
      <alignment horizontal="right"/>
    </xf>
    <xf numFmtId="0" fontId="0" fillId="5" borderId="5" xfId="0" quotePrefix="1" applyFill="1" applyBorder="1" applyAlignment="1">
      <alignment horizontal="right"/>
    </xf>
    <xf numFmtId="0" fontId="0" fillId="5" borderId="21" xfId="0" applyFill="1" applyBorder="1" applyAlignment="1">
      <alignment horizontal="right"/>
    </xf>
    <xf numFmtId="0" fontId="0" fillId="5" borderId="22" xfId="0" applyFill="1" applyBorder="1" applyAlignment="1">
      <alignment horizontal="right"/>
    </xf>
    <xf numFmtId="0" fontId="0" fillId="5" borderId="23" xfId="0" applyFill="1" applyBorder="1" applyAlignment="1">
      <alignment horizontal="right"/>
    </xf>
    <xf numFmtId="4" fontId="0" fillId="5" borderId="15" xfId="0" applyNumberFormat="1" applyFill="1" applyBorder="1" applyAlignment="1">
      <alignment horizontal="right"/>
    </xf>
    <xf numFmtId="4" fontId="0" fillId="5" borderId="17" xfId="0" applyNumberFormat="1" applyFill="1" applyBorder="1" applyAlignment="1">
      <alignment horizontal="right"/>
    </xf>
    <xf numFmtId="0" fontId="0" fillId="5" borderId="24" xfId="0" applyFill="1" applyBorder="1" applyAlignment="1">
      <alignment horizontal="right"/>
    </xf>
    <xf numFmtId="0" fontId="0" fillId="5" borderId="25" xfId="0" applyFill="1" applyBorder="1" applyAlignment="1">
      <alignment horizontal="right"/>
    </xf>
    <xf numFmtId="0" fontId="0" fillId="5" borderId="26" xfId="0" applyFill="1" applyBorder="1" applyAlignment="1">
      <alignment horizontal="right"/>
    </xf>
    <xf numFmtId="0" fontId="0" fillId="5" borderId="15" xfId="0" applyFill="1" applyBorder="1" applyAlignment="1">
      <alignment horizontal="right"/>
    </xf>
    <xf numFmtId="0" fontId="3" fillId="5" borderId="2" xfId="0" applyFont="1" applyFill="1" applyBorder="1"/>
    <xf numFmtId="0" fontId="0" fillId="5" borderId="3" xfId="0" applyFill="1" applyBorder="1"/>
    <xf numFmtId="0" fontId="8" fillId="5" borderId="2" xfId="0" applyFont="1" applyFill="1" applyBorder="1" applyAlignment="1">
      <alignment horizontal="right"/>
    </xf>
    <xf numFmtId="0" fontId="3" fillId="5" borderId="4" xfId="0" applyFont="1" applyFill="1" applyBorder="1"/>
    <xf numFmtId="0" fontId="3" fillId="5" borderId="3" xfId="0" applyFont="1" applyFill="1" applyBorder="1"/>
    <xf numFmtId="4" fontId="3" fillId="5" borderId="20" xfId="0" applyNumberFormat="1" applyFont="1" applyFill="1" applyBorder="1" applyAlignment="1">
      <alignment horizontal="right"/>
    </xf>
    <xf numFmtId="4" fontId="0" fillId="5" borderId="20" xfId="0" applyNumberFormat="1" applyFont="1" applyFill="1" applyBorder="1" applyAlignment="1">
      <alignment horizontal="right"/>
    </xf>
    <xf numFmtId="4" fontId="6" fillId="3" borderId="1" xfId="1" applyNumberFormat="1" applyFont="1" applyFill="1" applyBorder="1" applyAlignment="1">
      <alignment horizontal="center" vertical="center" wrapText="1"/>
    </xf>
    <xf numFmtId="4" fontId="3" fillId="5" borderId="10" xfId="0" applyNumberFormat="1" applyFont="1" applyFill="1" applyBorder="1" applyAlignment="1">
      <alignment horizontal="right"/>
    </xf>
    <xf numFmtId="0" fontId="3" fillId="5" borderId="9" xfId="0" applyFont="1" applyFill="1" applyBorder="1" applyAlignment="1">
      <alignment horizontal="right"/>
    </xf>
    <xf numFmtId="0" fontId="3" fillId="5" borderId="11" xfId="0" applyFont="1" applyFill="1" applyBorder="1" applyAlignment="1">
      <alignment horizontal="right"/>
    </xf>
    <xf numFmtId="0" fontId="3" fillId="5" borderId="12" xfId="0" applyFont="1" applyFill="1" applyBorder="1" applyAlignment="1">
      <alignment horizontal="right"/>
    </xf>
    <xf numFmtId="4" fontId="3" fillId="5" borderId="13" xfId="0" applyNumberFormat="1" applyFont="1" applyFill="1" applyBorder="1" applyAlignment="1">
      <alignment horizontal="right"/>
    </xf>
    <xf numFmtId="0" fontId="3" fillId="5" borderId="4" xfId="0" applyFont="1" applyFill="1" applyBorder="1" applyAlignment="1">
      <alignment horizontal="right"/>
    </xf>
    <xf numFmtId="0" fontId="3" fillId="5" borderId="1" xfId="0" applyFont="1" applyFill="1" applyBorder="1" applyAlignment="1">
      <alignment horizontal="right"/>
    </xf>
    <xf numFmtId="172" fontId="3" fillId="5" borderId="1" xfId="0" applyNumberFormat="1" applyFont="1" applyFill="1" applyBorder="1" applyAlignment="1">
      <alignment horizontal="right"/>
    </xf>
    <xf numFmtId="0" fontId="3" fillId="5" borderId="1" xfId="0" applyFont="1" applyFill="1" applyBorder="1"/>
    <xf numFmtId="165" fontId="11" fillId="4" borderId="6" xfId="1" applyNumberFormat="1" applyFont="1" applyFill="1" applyBorder="1" applyProtection="1">
      <protection locked="0"/>
    </xf>
    <xf numFmtId="0" fontId="12" fillId="0" borderId="0" xfId="0" applyFont="1"/>
    <xf numFmtId="0" fontId="8" fillId="5" borderId="1" xfId="0" applyFont="1" applyFill="1" applyBorder="1"/>
    <xf numFmtId="0" fontId="13" fillId="5" borderId="1" xfId="0" applyFont="1" applyFill="1" applyBorder="1"/>
    <xf numFmtId="0" fontId="13" fillId="5" borderId="14" xfId="0" applyFont="1" applyFill="1" applyBorder="1"/>
    <xf numFmtId="0" fontId="3" fillId="11" borderId="27" xfId="0" applyFont="1" applyFill="1" applyBorder="1" applyProtection="1">
      <protection locked="0"/>
    </xf>
    <xf numFmtId="0" fontId="3" fillId="5" borderId="28" xfId="0" applyFont="1" applyFill="1" applyBorder="1"/>
    <xf numFmtId="0" fontId="3" fillId="11" borderId="28" xfId="0" applyFont="1" applyFill="1" applyBorder="1" applyProtection="1">
      <protection locked="0"/>
    </xf>
    <xf numFmtId="0" fontId="3" fillId="5" borderId="29" xfId="0" applyFont="1" applyFill="1" applyBorder="1"/>
    <xf numFmtId="0" fontId="14" fillId="5" borderId="8" xfId="0" applyFont="1" applyFill="1" applyBorder="1"/>
    <xf numFmtId="4" fontId="11" fillId="2" borderId="1" xfId="1" applyNumberFormat="1" applyFont="1" applyFill="1" applyBorder="1"/>
    <xf numFmtId="0" fontId="0" fillId="5" borderId="2" xfId="0" applyFill="1" applyBorder="1"/>
    <xf numFmtId="49" fontId="16" fillId="6" borderId="2" xfId="2" applyNumberFormat="1" applyFont="1" applyFill="1" applyBorder="1"/>
    <xf numFmtId="0" fontId="15" fillId="7" borderId="3" xfId="0" applyFont="1" applyFill="1" applyBorder="1"/>
    <xf numFmtId="4" fontId="5" fillId="6" borderId="1" xfId="1" applyNumberFormat="1" applyFont="1" applyFill="1" applyBorder="1"/>
    <xf numFmtId="0" fontId="17" fillId="5" borderId="2" xfId="0" applyFont="1" applyFill="1" applyBorder="1"/>
    <xf numFmtId="0" fontId="18" fillId="5" borderId="1" xfId="0" applyFont="1" applyFill="1" applyBorder="1"/>
    <xf numFmtId="2" fontId="19" fillId="5" borderId="3" xfId="0" applyNumberFormat="1" applyFont="1" applyFill="1" applyBorder="1"/>
    <xf numFmtId="2" fontId="20" fillId="5" borderId="1" xfId="0" applyNumberFormat="1" applyFont="1" applyFill="1" applyBorder="1"/>
    <xf numFmtId="169" fontId="0" fillId="0" borderId="0" xfId="0" applyNumberFormat="1"/>
    <xf numFmtId="171" fontId="8" fillId="11" borderId="14" xfId="0" applyNumberFormat="1" applyFont="1" applyFill="1" applyBorder="1" applyProtection="1">
      <protection locked="0"/>
    </xf>
    <xf numFmtId="0" fontId="13" fillId="5" borderId="2" xfId="0" applyFont="1" applyFill="1" applyBorder="1"/>
    <xf numFmtId="0" fontId="21" fillId="9" borderId="30" xfId="2" applyNumberFormat="1" applyFont="1" applyFill="1" applyBorder="1"/>
    <xf numFmtId="167" fontId="22" fillId="5" borderId="32" xfId="0" applyNumberFormat="1" applyFont="1" applyFill="1" applyBorder="1"/>
    <xf numFmtId="0" fontId="21" fillId="9" borderId="6" xfId="2" applyNumberFormat="1" applyFont="1" applyFill="1" applyBorder="1"/>
    <xf numFmtId="167" fontId="22" fillId="5" borderId="8" xfId="0" applyNumberFormat="1" applyFont="1" applyFill="1" applyBorder="1"/>
    <xf numFmtId="0" fontId="3" fillId="5" borderId="31" xfId="0" applyFont="1" applyFill="1" applyBorder="1"/>
    <xf numFmtId="0" fontId="3" fillId="5" borderId="7" xfId="0" applyFont="1" applyFill="1" applyBorder="1"/>
    <xf numFmtId="169" fontId="6" fillId="8" borderId="6" xfId="1" applyNumberFormat="1" applyFont="1" applyFill="1" applyBorder="1" applyAlignment="1">
      <alignment horizontal="center" vertical="center" wrapText="1"/>
    </xf>
    <xf numFmtId="169" fontId="3" fillId="5" borderId="3" xfId="0" applyNumberFormat="1" applyFont="1" applyFill="1" applyBorder="1"/>
    <xf numFmtId="0" fontId="3" fillId="5" borderId="2" xfId="0" quotePrefix="1" applyFont="1" applyFill="1" applyBorder="1"/>
    <xf numFmtId="169" fontId="6" fillId="9" borderId="1" xfId="1" applyNumberFormat="1" applyFont="1" applyFill="1" applyBorder="1" applyAlignment="1">
      <alignment horizontal="center"/>
    </xf>
    <xf numFmtId="0" fontId="3" fillId="5" borderId="33" xfId="0" applyFont="1" applyFill="1" applyBorder="1"/>
    <xf numFmtId="49" fontId="23" fillId="5" borderId="1" xfId="0" applyNumberFormat="1" applyFont="1" applyFill="1" applyBorder="1"/>
    <xf numFmtId="165" fontId="11" fillId="10" borderId="14" xfId="1" applyNumberFormat="1" applyFont="1" applyFill="1" applyBorder="1" applyProtection="1">
      <protection locked="0"/>
    </xf>
    <xf numFmtId="4" fontId="3" fillId="5" borderId="3" xfId="0" applyNumberFormat="1" applyFont="1" applyFill="1" applyBorder="1"/>
    <xf numFmtId="168" fontId="3" fillId="5" borderId="1" xfId="0" applyNumberFormat="1" applyFont="1" applyFill="1" applyBorder="1"/>
    <xf numFmtId="0" fontId="3" fillId="13" borderId="2" xfId="0" applyFont="1" applyFill="1" applyBorder="1"/>
    <xf numFmtId="0" fontId="3" fillId="5" borderId="14" xfId="0" applyFont="1" applyFill="1" applyBorder="1"/>
    <xf numFmtId="0" fontId="0" fillId="13" borderId="4" xfId="0" applyFill="1" applyBorder="1"/>
    <xf numFmtId="0" fontId="0" fillId="13" borderId="3" xfId="0" applyFill="1" applyBorder="1"/>
    <xf numFmtId="0" fontId="3" fillId="13" borderId="1" xfId="0" applyFont="1" applyFill="1" applyBorder="1"/>
    <xf numFmtId="169" fontId="3" fillId="13" borderId="3" xfId="0" applyNumberFormat="1" applyFont="1" applyFill="1" applyBorder="1"/>
    <xf numFmtId="0" fontId="24" fillId="13" borderId="1" xfId="0" applyFont="1" applyFill="1" applyBorder="1"/>
    <xf numFmtId="0" fontId="15" fillId="0" borderId="0" xfId="0" applyFont="1"/>
    <xf numFmtId="169" fontId="3" fillId="5" borderId="1" xfId="0" applyNumberFormat="1" applyFont="1" applyFill="1" applyBorder="1" applyAlignment="1">
      <alignment horizontal="right"/>
    </xf>
    <xf numFmtId="169" fontId="3" fillId="5" borderId="1" xfId="0" applyNumberFormat="1" applyFont="1" applyFill="1" applyBorder="1"/>
    <xf numFmtId="169" fontId="24" fillId="5" borderId="1" xfId="0" applyNumberFormat="1" applyFont="1" applyFill="1" applyBorder="1"/>
    <xf numFmtId="0" fontId="0" fillId="5" borderId="0" xfId="0" applyFill="1"/>
    <xf numFmtId="4" fontId="25" fillId="9" borderId="1" xfId="1" applyNumberFormat="1" applyFont="1" applyFill="1" applyBorder="1" applyAlignment="1">
      <alignment horizontal="center" vertical="center" wrapText="1"/>
    </xf>
    <xf numFmtId="0" fontId="13" fillId="12" borderId="1" xfId="0" applyFont="1" applyFill="1" applyBorder="1"/>
    <xf numFmtId="168" fontId="3" fillId="5" borderId="32" xfId="0" applyNumberFormat="1" applyFont="1" applyFill="1" applyBorder="1"/>
    <xf numFmtId="0" fontId="3" fillId="5" borderId="35" xfId="0" applyFont="1" applyFill="1" applyBorder="1"/>
    <xf numFmtId="168" fontId="3" fillId="5" borderId="34" xfId="0" applyNumberFormat="1" applyFont="1" applyFill="1" applyBorder="1"/>
    <xf numFmtId="0" fontId="3" fillId="5" borderId="8" xfId="0" applyFont="1" applyFill="1" applyBorder="1"/>
    <xf numFmtId="0" fontId="3" fillId="5" borderId="3" xfId="0" applyFont="1" applyFill="1" applyBorder="1" applyAlignment="1">
      <alignment horizontal="right"/>
    </xf>
    <xf numFmtId="4" fontId="11" fillId="10" borderId="14" xfId="1" applyNumberFormat="1" applyFont="1" applyFill="1" applyBorder="1"/>
    <xf numFmtId="4" fontId="5" fillId="6" borderId="1" xfId="1" applyNumberFormat="1" applyFont="1" applyFill="1" applyBorder="1" applyAlignment="1">
      <alignment horizontal="right"/>
    </xf>
    <xf numFmtId="10" fontId="5" fillId="6" borderId="1" xfId="1" applyNumberFormat="1" applyFont="1" applyFill="1" applyBorder="1"/>
    <xf numFmtId="0" fontId="26" fillId="2" borderId="0" xfId="2" applyNumberFormat="1" applyFont="1" applyFill="1"/>
    <xf numFmtId="49" fontId="26" fillId="2" borderId="0" xfId="2" applyNumberFormat="1" applyFont="1" applyFill="1"/>
    <xf numFmtId="49" fontId="26" fillId="0" borderId="0" xfId="2" applyNumberFormat="1" applyFont="1" applyFill="1"/>
    <xf numFmtId="165" fontId="26" fillId="0" borderId="0" xfId="2" applyNumberFormat="1" applyFont="1" applyFill="1"/>
    <xf numFmtId="166" fontId="26" fillId="0" borderId="0" xfId="2" applyNumberFormat="1" applyFont="1" applyFill="1"/>
    <xf numFmtId="0" fontId="26" fillId="0" borderId="0" xfId="2" applyNumberFormat="1" applyFont="1" applyFill="1"/>
    <xf numFmtId="167" fontId="26" fillId="0" borderId="0" xfId="2" applyNumberFormat="1" applyFont="1" applyFill="1"/>
    <xf numFmtId="169" fontId="6" fillId="8" borderId="33" xfId="1" applyNumberFormat="1" applyFont="1" applyFill="1" applyBorder="1" applyAlignment="1">
      <alignment horizontal="center" vertical="center" wrapText="1"/>
    </xf>
    <xf numFmtId="0" fontId="6" fillId="8" borderId="33" xfId="1" applyFont="1" applyFill="1" applyBorder="1" applyAlignment="1">
      <alignment horizontal="center" vertical="center" wrapText="1"/>
    </xf>
    <xf numFmtId="4" fontId="6" fillId="8" borderId="33" xfId="1" applyNumberFormat="1" applyFont="1" applyFill="1" applyBorder="1" applyAlignment="1">
      <alignment horizontal="center" vertical="center" wrapText="1"/>
    </xf>
    <xf numFmtId="4" fontId="6" fillId="9" borderId="33" xfId="1" applyNumberFormat="1" applyFont="1" applyFill="1" applyBorder="1" applyAlignment="1">
      <alignment horizontal="center" vertical="center" wrapText="1"/>
    </xf>
    <xf numFmtId="4" fontId="6" fillId="14" borderId="32" xfId="1" applyNumberFormat="1" applyFont="1" applyFill="1" applyBorder="1" applyAlignment="1">
      <alignment horizontal="center" vertical="center" wrapText="1"/>
    </xf>
    <xf numFmtId="4" fontId="11" fillId="10" borderId="8" xfId="1" applyNumberFormat="1" applyFont="1" applyFill="1" applyBorder="1"/>
    <xf numFmtId="0" fontId="28" fillId="10" borderId="5" xfId="2" applyNumberFormat="1" applyFont="1" applyFill="1" applyBorder="1"/>
    <xf numFmtId="49" fontId="28" fillId="10" borderId="5" xfId="2" applyNumberFormat="1" applyFont="1" applyFill="1" applyBorder="1"/>
    <xf numFmtId="165" fontId="29" fillId="10" borderId="5" xfId="1" applyNumberFormat="1" applyFont="1" applyFill="1" applyBorder="1"/>
    <xf numFmtId="0" fontId="29" fillId="10" borderId="5" xfId="1" applyFont="1" applyFill="1" applyBorder="1"/>
    <xf numFmtId="4" fontId="29" fillId="10" borderId="5" xfId="1" applyNumberFormat="1" applyFont="1" applyFill="1" applyBorder="1"/>
    <xf numFmtId="171" fontId="27" fillId="10" borderId="5" xfId="1" quotePrefix="1" applyNumberFormat="1" applyFont="1" applyFill="1" applyBorder="1"/>
    <xf numFmtId="0" fontId="13" fillId="0" borderId="0" xfId="0" applyFont="1"/>
    <xf numFmtId="0" fontId="30" fillId="2" borderId="0" xfId="2" applyNumberFormat="1" applyFont="1" applyFill="1"/>
    <xf numFmtId="49" fontId="30" fillId="2" borderId="0" xfId="2" applyNumberFormat="1" applyFont="1" applyFill="1"/>
    <xf numFmtId="0" fontId="31" fillId="2" borderId="0" xfId="1" applyFont="1" applyFill="1"/>
    <xf numFmtId="164" fontId="31" fillId="2" borderId="0" xfId="1" applyNumberFormat="1" applyFont="1" applyFill="1"/>
    <xf numFmtId="168" fontId="31" fillId="2" borderId="0" xfId="1" applyNumberFormat="1" applyFont="1" applyFill="1"/>
    <xf numFmtId="169" fontId="31" fillId="2" borderId="0" xfId="1" applyNumberFormat="1" applyFont="1" applyFill="1"/>
    <xf numFmtId="169" fontId="31" fillId="0" borderId="0" xfId="1" applyNumberFormat="1" applyFont="1" applyFill="1"/>
    <xf numFmtId="167" fontId="31" fillId="0" borderId="0" xfId="1" applyNumberFormat="1" applyFont="1" applyFill="1"/>
    <xf numFmtId="170" fontId="31" fillId="0" borderId="0" xfId="1" applyNumberFormat="1" applyFont="1" applyFill="1"/>
    <xf numFmtId="168" fontId="31" fillId="0" borderId="0" xfId="1" applyNumberFormat="1" applyFont="1" applyFill="1"/>
    <xf numFmtId="0" fontId="31" fillId="0" borderId="0" xfId="1" applyFont="1" applyFill="1"/>
  </cellXfs>
  <cellStyles count="3">
    <cellStyle name="Excel Built-in Normal" xfId="1" xr:uid="{F4389A6C-0B5E-DE4A-B661-A8A335A0C143}"/>
    <cellStyle name="Excel Built-in Normal 1" xfId="2" xr:uid="{A1519BC1-6953-E243-96EB-D541E821E9B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88900</xdr:colOff>
      <xdr:row>12</xdr:row>
      <xdr:rowOff>88900</xdr:rowOff>
    </xdr:from>
    <xdr:to>
      <xdr:col>10</xdr:col>
      <xdr:colOff>863600</xdr:colOff>
      <xdr:row>35</xdr:row>
      <xdr:rowOff>114300</xdr:rowOff>
    </xdr:to>
    <xdr:sp macro="" textlink="">
      <xdr:nvSpPr>
        <xdr:cNvPr id="2" name="TextBox 1">
          <a:extLst>
            <a:ext uri="{FF2B5EF4-FFF2-40B4-BE49-F238E27FC236}">
              <a16:creationId xmlns:a16="http://schemas.microsoft.com/office/drawing/2014/main" id="{908D8901-4D0E-2145-9E36-FFA3C9ACA4CD}"/>
            </a:ext>
          </a:extLst>
        </xdr:cNvPr>
        <xdr:cNvSpPr txBox="1"/>
      </xdr:nvSpPr>
      <xdr:spPr>
        <a:xfrm>
          <a:off x="88900" y="3581400"/>
          <a:ext cx="8737600" cy="488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VOLCFGRS</a:t>
          </a:r>
          <a:r>
            <a:rPr lang="en-US" sz="1600" baseline="0"/>
            <a:t> = stem vol (inside bark, i.e. wood only) (VOLCFGRS stands for gross cubic foot volume)</a:t>
          </a:r>
          <a:endParaRPr lang="en-US" sz="1600"/>
        </a:p>
        <a:p>
          <a:r>
            <a:rPr lang="en-US" sz="1600"/>
            <a:t>Bark</a:t>
          </a:r>
          <a:r>
            <a:rPr lang="en-US" sz="1600" baseline="0"/>
            <a:t> Vol/stem Vol = 0.16 for white pine. See cell Coeff_1!BH2.</a:t>
          </a:r>
        </a:p>
        <a:p>
          <a:endParaRPr lang="en-US" sz="1600" baseline="0"/>
        </a:p>
        <a:p>
          <a:r>
            <a:rPr lang="en-US" sz="1600" baseline="0"/>
            <a:t>Bole Vol = Stem Vol + Bark Vol (This is a fairly standard forestry definition)</a:t>
          </a:r>
        </a:p>
        <a:p>
          <a:endParaRPr lang="en-US" sz="1600" baseline="0"/>
        </a:p>
        <a:p>
          <a:r>
            <a:rPr lang="en-US" sz="1600" baseline="0"/>
            <a:t>Stump Vol:                  Stump_vol_DOB = ( 0.005454153 × DBH2 × (  1 + (5.62462 × C ) + (8.50038 × C2) ) </a:t>
          </a:r>
        </a:p>
        <a:p>
          <a:endParaRPr lang="en-US" sz="1600" baseline="0"/>
        </a:p>
        <a:p>
          <a:r>
            <a:rPr lang="en-US" sz="1600" baseline="0"/>
            <a:t>		C: Raile_Stump_DOB_B1 in "coeff 1" tab</a:t>
          </a:r>
        </a:p>
        <a:p>
          <a:endParaRPr lang="en-US" sz="1600" baseline="0"/>
        </a:p>
        <a:p>
          <a:endParaRPr lang="en-US" sz="1600" baseline="0"/>
        </a:p>
        <a:p>
          <a:r>
            <a:rPr lang="en-US" sz="1600" baseline="0"/>
            <a:t>Top biomass = Tot biomass - Bole biomass - Stump Biomass - Foliage biomass. (foliage is needles or leaves)</a:t>
          </a:r>
        </a:p>
        <a:p>
          <a:endParaRPr lang="en-US" sz="1600" baseline="0"/>
        </a:p>
        <a:p>
          <a:r>
            <a:rPr lang="en-US" sz="1600" baseline="0"/>
            <a:t>Top = limbs, branches, twigs (this is my interpretation)</a:t>
          </a:r>
        </a:p>
        <a:p>
          <a:endParaRPr lang="en-US" sz="1600" baseline="0"/>
        </a:p>
        <a:p>
          <a:r>
            <a:rPr lang="en-US" sz="1600" baseline="0"/>
            <a:t>Note that the mass ratio of Top to (bole + stump) is usually between  0.085 and 1.000 for larger trees. It is unclear if the corresponding volume ratio would be the same. However, it is assumed so for cell K11.</a:t>
          </a:r>
        </a:p>
        <a:p>
          <a:endParaRPr lang="en-US" sz="1600" baseline="0"/>
        </a:p>
        <a:p>
          <a:endParaRPr lang="en-US" sz="1600"/>
        </a:p>
      </xdr:txBody>
    </xdr:sp>
    <xdr:clientData/>
  </xdr:twoCellAnchor>
  <xdr:twoCellAnchor>
    <xdr:from>
      <xdr:col>15</xdr:col>
      <xdr:colOff>50800</xdr:colOff>
      <xdr:row>9</xdr:row>
      <xdr:rowOff>266700</xdr:rowOff>
    </xdr:from>
    <xdr:to>
      <xdr:col>27</xdr:col>
      <xdr:colOff>12700</xdr:colOff>
      <xdr:row>74</xdr:row>
      <xdr:rowOff>152400</xdr:rowOff>
    </xdr:to>
    <xdr:sp macro="" textlink="" fLocksText="0">
      <xdr:nvSpPr>
        <xdr:cNvPr id="3" name="TextBox 4">
          <a:extLst>
            <a:ext uri="{FF2B5EF4-FFF2-40B4-BE49-F238E27FC236}">
              <a16:creationId xmlns:a16="http://schemas.microsoft.com/office/drawing/2014/main" id="{C99E96A0-8EFD-8D40-9789-2300CE046936}"/>
            </a:ext>
          </a:extLst>
        </xdr:cNvPr>
        <xdr:cNvSpPr>
          <a:spLocks noChangeArrowheads="1"/>
        </xdr:cNvSpPr>
      </xdr:nvSpPr>
      <xdr:spPr bwMode="auto">
        <a:xfrm>
          <a:off x="16852900" y="3022600"/>
          <a:ext cx="9791700" cy="13855700"/>
        </a:xfrm>
        <a:prstGeom prst="rect">
          <a:avLst/>
        </a:prstGeom>
        <a:solidFill>
          <a:srgbClr val="FFFF66"/>
        </a:solidFill>
        <a:ln w="9360">
          <a:solidFill>
            <a:srgbClr val="BCBCBC"/>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lnSpc>
              <a:spcPts val="1900"/>
            </a:lnSpc>
            <a:defRPr sz="1000"/>
          </a:pPr>
          <a:r>
            <a:rPr lang="en-US" sz="1800" b="1" i="0" u="none" strike="noStrike" baseline="0">
              <a:solidFill>
                <a:srgbClr val="000000"/>
              </a:solidFill>
              <a:latin typeface="Times New Roman" pitchFamily="1" charset="0"/>
              <a:cs typeface="Times New Roman" pitchFamily="1" charset="0"/>
            </a:rPr>
            <a:t>The Estimation Process in this spreadsheet:</a:t>
          </a:r>
        </a:p>
        <a:p>
          <a:pPr algn="l" rtl="0">
            <a:lnSpc>
              <a:spcPts val="1900"/>
            </a:lnSpc>
            <a:defRPr sz="1000"/>
          </a:pPr>
          <a:endParaRPr lang="en-US" sz="1800" b="1" i="0" u="none" strike="noStrike" baseline="0">
            <a:solidFill>
              <a:srgbClr val="000000"/>
            </a:solidFill>
            <a:latin typeface="Times New Roman" pitchFamily="1" charset="0"/>
            <a:cs typeface="Times New Roman" pitchFamily="1" charset="0"/>
          </a:endParaRP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This spreadsheet uses the following procedure to estimate biomass:</a:t>
          </a:r>
        </a:p>
        <a:p>
          <a:pPr algn="l" rtl="0">
            <a:lnSpc>
              <a:spcPts val="1300"/>
            </a:lnSpc>
            <a:defRPr sz="1000"/>
          </a:pPr>
          <a:endParaRPr lang="en-US" sz="1200" b="0" i="0" u="none" strike="noStrike" baseline="0">
            <a:solidFill>
              <a:srgbClr val="000000"/>
            </a:solidFill>
            <a:latin typeface="Times New Roman" pitchFamily="1" charset="0"/>
            <a:cs typeface="Times New Roman" pitchFamily="1" charset="0"/>
          </a:endParaRPr>
        </a:p>
        <a:p>
          <a:pPr algn="l" rtl="0">
            <a:lnSpc>
              <a:spcPts val="1200"/>
            </a:lnSpc>
            <a:defRPr sz="1000"/>
          </a:pPr>
          <a:r>
            <a:rPr lang="en-US" sz="1200" b="1" i="0" u="none" strike="noStrike" baseline="0">
              <a:solidFill>
                <a:srgbClr val="000000"/>
              </a:solidFill>
              <a:latin typeface="Times New Roman" pitchFamily="1" charset="0"/>
              <a:cs typeface="Times New Roman" pitchFamily="1" charset="0"/>
            </a:rPr>
            <a:t>1) VOLCFGRS (Feet3) = b(DBH2 × Total Tree Height). </a:t>
          </a:r>
        </a:p>
        <a:p>
          <a:pPr algn="l" rtl="0">
            <a:lnSpc>
              <a:spcPts val="1300"/>
            </a:lnSpc>
            <a:defRPr sz="1000"/>
          </a:pPr>
          <a:endParaRPr lang="en-US" sz="1200" b="1" i="0" u="none" strike="noStrike" baseline="0">
            <a:solidFill>
              <a:srgbClr val="000000"/>
            </a:solidFill>
            <a:latin typeface="Times New Roman" pitchFamily="1" charset="0"/>
            <a:cs typeface="Times New Roman" pitchFamily="1" charset="0"/>
          </a:endParaRP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The </a:t>
          </a:r>
          <a:r>
            <a:rPr lang="en-US" sz="1200" b="1" i="0" u="none" strike="noStrike" baseline="0">
              <a:solidFill>
                <a:srgbClr val="FF0000"/>
              </a:solidFill>
              <a:latin typeface="Times New Roman" pitchFamily="1" charset="0"/>
              <a:cs typeface="Times New Roman" pitchFamily="1" charset="0"/>
            </a:rPr>
            <a:t>coefficient b</a:t>
          </a:r>
          <a:r>
            <a:rPr lang="en-US" sz="1200" b="0" i="0" u="none" strike="noStrike" baseline="0">
              <a:solidFill>
                <a:srgbClr val="FF0000"/>
              </a:solidFill>
              <a:latin typeface="Times New Roman" pitchFamily="1" charset="0"/>
              <a:cs typeface="Times New Roman" pitchFamily="1" charset="0"/>
            </a:rPr>
            <a:t> </a:t>
          </a:r>
          <a:r>
            <a:rPr lang="en-US" sz="1200" b="0" i="0" u="none" strike="noStrike" baseline="0">
              <a:solidFill>
                <a:srgbClr val="000000"/>
              </a:solidFill>
              <a:latin typeface="Times New Roman" pitchFamily="1" charset="0"/>
              <a:cs typeface="Times New Roman" pitchFamily="1" charset="0"/>
            </a:rPr>
            <a:t>is based on a regression fit to TREE table data in the FIADB.  Species that had relative errors greater than 10% were omitted from this spreadsheet.  Note that FIA bases their VOLCFGRS estimates on region-specific equations.  </a:t>
          </a:r>
        </a:p>
        <a:p>
          <a:pPr algn="l" rtl="0">
            <a:lnSpc>
              <a:spcPts val="1300"/>
            </a:lnSpc>
            <a:defRPr sz="1000"/>
          </a:pPr>
          <a:endParaRPr lang="en-US" sz="1200" b="0" i="0" u="none" strike="noStrike" baseline="0">
            <a:solidFill>
              <a:srgbClr val="000000"/>
            </a:solidFill>
            <a:latin typeface="Times New Roman" pitchFamily="1" charset="0"/>
            <a:cs typeface="Times New Roman" pitchFamily="1" charset="0"/>
          </a:endParaRPr>
        </a:p>
        <a:p>
          <a:pPr algn="l" rtl="0">
            <a:lnSpc>
              <a:spcPts val="1300"/>
            </a:lnSpc>
            <a:defRPr sz="1000"/>
          </a:pPr>
          <a:endParaRPr lang="en-US" sz="1200" b="0" i="0" u="none" strike="noStrike" baseline="0">
            <a:solidFill>
              <a:srgbClr val="000000"/>
            </a:solidFill>
            <a:latin typeface="Times New Roman" pitchFamily="1" charset="0"/>
            <a:cs typeface="Times New Roman" pitchFamily="1" charset="0"/>
          </a:endParaRPr>
        </a:p>
        <a:p>
          <a:pPr algn="l" rtl="0">
            <a:lnSpc>
              <a:spcPts val="1200"/>
            </a:lnSpc>
            <a:defRPr sz="1000"/>
          </a:pPr>
          <a:endParaRPr lang="en-US" sz="1200" b="0" i="0" u="none" strike="noStrike" baseline="0">
            <a:solidFill>
              <a:srgbClr val="000000"/>
            </a:solidFill>
            <a:latin typeface="Times New Roman" pitchFamily="1" charset="0"/>
            <a:cs typeface="Times New Roman" pitchFamily="1" charset="0"/>
          </a:endParaRPr>
        </a:p>
        <a:p>
          <a:pPr algn="l" rtl="0">
            <a:lnSpc>
              <a:spcPts val="1300"/>
            </a:lnSpc>
            <a:defRPr sz="1000"/>
          </a:pPr>
          <a:r>
            <a:rPr lang="en-US" sz="1200" b="1" i="0" u="none" strike="noStrike" baseline="0">
              <a:solidFill>
                <a:srgbClr val="000000"/>
              </a:solidFill>
              <a:latin typeface="Times New Roman" pitchFamily="1" charset="0"/>
              <a:cs typeface="Times New Roman" pitchFamily="1" charset="0"/>
            </a:rPr>
            <a:t>2) VOLCFSND (Feet3) = VOLCFGRS × Cull%</a:t>
          </a:r>
        </a:p>
        <a:p>
          <a:pPr algn="l" rtl="0">
            <a:lnSpc>
              <a:spcPts val="1200"/>
            </a:lnSpc>
            <a:defRPr sz="1000"/>
          </a:pPr>
          <a:endParaRPr lang="en-US" sz="1200" b="1" i="0" u="none" strike="noStrike" baseline="0">
            <a:solidFill>
              <a:srgbClr val="000000"/>
            </a:solidFill>
            <a:latin typeface="Times New Roman" pitchFamily="1" charset="0"/>
            <a:cs typeface="Times New Roman" pitchFamily="1" charset="0"/>
          </a:endParaRPr>
        </a:p>
        <a:p>
          <a:pPr algn="l" rtl="0">
            <a:lnSpc>
              <a:spcPts val="1300"/>
            </a:lnSpc>
            <a:defRPr sz="1000"/>
          </a:pPr>
          <a:endParaRPr lang="en-US" sz="1200" b="1" i="0" u="none" strike="noStrike" baseline="0">
            <a:solidFill>
              <a:srgbClr val="000000"/>
            </a:solidFill>
            <a:latin typeface="Times New Roman" pitchFamily="1" charset="0"/>
            <a:cs typeface="Times New Roman" pitchFamily="1" charset="0"/>
          </a:endParaRPr>
        </a:p>
        <a:p>
          <a:pPr algn="l" rtl="0">
            <a:lnSpc>
              <a:spcPts val="1200"/>
            </a:lnSpc>
            <a:defRPr sz="1000"/>
          </a:pPr>
          <a:endParaRPr lang="en-US" sz="1200" b="1" i="0" u="none" strike="noStrike" baseline="0">
            <a:solidFill>
              <a:srgbClr val="000000"/>
            </a:solidFill>
            <a:latin typeface="Times New Roman" pitchFamily="1" charset="0"/>
            <a:cs typeface="Times New Roman" pitchFamily="1" charset="0"/>
          </a:endParaRPr>
        </a:p>
        <a:p>
          <a:pPr algn="l" rtl="0">
            <a:lnSpc>
              <a:spcPts val="1300"/>
            </a:lnSpc>
            <a:defRPr sz="1000"/>
          </a:pPr>
          <a:r>
            <a:rPr lang="en-US" sz="1200" b="1" i="0" u="none" strike="noStrike" baseline="0">
              <a:solidFill>
                <a:srgbClr val="000000"/>
              </a:solidFill>
              <a:latin typeface="Times New Roman" pitchFamily="1" charset="0"/>
              <a:cs typeface="Times New Roman" pitchFamily="1" charset="0"/>
            </a:rPr>
            <a:t>3) </a:t>
          </a:r>
          <a:r>
            <a:rPr lang="en-US" sz="1200" b="1" i="0" u="none" strike="noStrike" baseline="0">
              <a:solidFill>
                <a:srgbClr val="FF0000"/>
              </a:solidFill>
              <a:latin typeface="Times New Roman" pitchFamily="1" charset="0"/>
              <a:cs typeface="Times New Roman" pitchFamily="1" charset="0"/>
            </a:rPr>
            <a:t>DRYBIO_BOLE (lbs)</a:t>
          </a:r>
          <a:r>
            <a:rPr lang="en-US" sz="1200" b="1" i="0" u="none" strike="noStrike" baseline="0">
              <a:solidFill>
                <a:srgbClr val="000000"/>
              </a:solidFill>
              <a:latin typeface="Times New Roman" pitchFamily="1" charset="0"/>
              <a:cs typeface="Times New Roman" pitchFamily="1" charset="0"/>
            </a:rPr>
            <a:t> = (VOLCFSND × (BARK_VOL_PCT/100) × (BARK_SPGR_GREENVOL_DRYWT × 62.4)) + </a:t>
          </a:r>
        </a:p>
        <a:p>
          <a:pPr algn="l" rtl="0">
            <a:lnSpc>
              <a:spcPts val="1200"/>
            </a:lnSpc>
            <a:defRPr sz="1000"/>
          </a:pPr>
          <a:r>
            <a:rPr lang="en-US" sz="1200" b="1" i="0" u="none" strike="noStrike" baseline="0">
              <a:solidFill>
                <a:srgbClr val="000000"/>
              </a:solidFill>
              <a:latin typeface="Times New Roman" pitchFamily="1" charset="0"/>
              <a:cs typeface="Times New Roman" pitchFamily="1" charset="0"/>
            </a:rPr>
            <a:t>	                      (VOLCFSND × WOOD_SPGR_GREENVOL_DRYWT × 62.4)</a:t>
          </a:r>
        </a:p>
        <a:p>
          <a:pPr algn="l" rtl="0">
            <a:lnSpc>
              <a:spcPts val="1300"/>
            </a:lnSpc>
            <a:defRPr sz="1000"/>
          </a:pPr>
          <a:r>
            <a:rPr lang="en-US" sz="1200" b="0" i="0" u="none" strike="noStrike" baseline="0">
              <a:solidFill>
                <a:srgbClr val="000000"/>
              </a:solidFill>
              <a:latin typeface="Times New Roman" pitchFamily="1" charset="0"/>
              <a:cs typeface="Times New Roman" pitchFamily="1" charset="0"/>
            </a:rPr>
            <a:t>		</a:t>
          </a: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BARK_SPGR_GREENVOL_DRYW (green specific gravity of the bark (green volume and oven-dry weight)</a:t>
          </a:r>
        </a:p>
        <a:p>
          <a:pPr algn="l" rtl="0">
            <a:lnSpc>
              <a:spcPts val="1300"/>
            </a:lnSpc>
            <a:defRPr sz="1000"/>
          </a:pPr>
          <a:r>
            <a:rPr lang="en-US" sz="1200" b="0" i="0" u="none" strike="noStrike" baseline="0">
              <a:solidFill>
                <a:srgbClr val="000000"/>
              </a:solidFill>
              <a:latin typeface="Times New Roman" pitchFamily="1" charset="0"/>
              <a:cs typeface="Times New Roman" pitchFamily="1" charset="0"/>
            </a:rPr>
            <a:t>    	              WOOD_SPGR_GREENVOL_DRYWT (green specific gravity of the wood (green volume and oven-dry weight)</a:t>
          </a: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Each specice specific gravity of the bark and the wood is presented in "coeff 1" tab.</a:t>
          </a:r>
        </a:p>
        <a:p>
          <a:pPr algn="l" rtl="0">
            <a:lnSpc>
              <a:spcPts val="1300"/>
            </a:lnSpc>
            <a:defRPr sz="1000"/>
          </a:pPr>
          <a:endParaRPr lang="en-US" sz="1200" b="0" i="0" u="none" strike="noStrike" baseline="0">
            <a:solidFill>
              <a:srgbClr val="000000"/>
            </a:solidFill>
            <a:latin typeface="Times New Roman" pitchFamily="1" charset="0"/>
            <a:cs typeface="Times New Roman" pitchFamily="1" charset="0"/>
          </a:endParaRPr>
        </a:p>
        <a:p>
          <a:pPr algn="l" rtl="0">
            <a:lnSpc>
              <a:spcPts val="1200"/>
            </a:lnSpc>
            <a:defRPr sz="1000"/>
          </a:pPr>
          <a:endParaRPr lang="en-US" sz="1200" b="0" i="0" u="none" strike="noStrike" baseline="0">
            <a:solidFill>
              <a:srgbClr val="000000"/>
            </a:solidFill>
            <a:latin typeface="Times New Roman" pitchFamily="1" charset="0"/>
            <a:cs typeface="Times New Roman" pitchFamily="1" charset="0"/>
          </a:endParaRPr>
        </a:p>
        <a:p>
          <a:pPr algn="l" rtl="0">
            <a:lnSpc>
              <a:spcPts val="1300"/>
            </a:lnSpc>
            <a:defRPr sz="1000"/>
          </a:pPr>
          <a:r>
            <a:rPr lang="en-US" sz="1200" b="1" i="0" u="none" strike="noStrike" baseline="0">
              <a:solidFill>
                <a:srgbClr val="000000"/>
              </a:solidFill>
              <a:latin typeface="Times New Roman" pitchFamily="1" charset="0"/>
              <a:cs typeface="Times New Roman" pitchFamily="1" charset="0"/>
            </a:rPr>
            <a:t>4) </a:t>
          </a:r>
        </a:p>
        <a:p>
          <a:pPr algn="l" rtl="0">
            <a:lnSpc>
              <a:spcPts val="1200"/>
            </a:lnSpc>
            <a:defRPr sz="1000"/>
          </a:pPr>
          <a:r>
            <a:rPr lang="en-US" sz="1200" b="1" i="0" u="none" strike="noStrike" baseline="0">
              <a:solidFill>
                <a:srgbClr val="000000"/>
              </a:solidFill>
              <a:latin typeface="Times New Roman" pitchFamily="1" charset="0"/>
              <a:cs typeface="Times New Roman" pitchFamily="1" charset="0"/>
            </a:rPr>
            <a:t>    Total_AG_biomass_Jenkins (lbs) = Exp(Jenkins_Total_B1 + Jenkins_Total_B2 * ln( DBH × 2.54 )) × 2.2046</a:t>
          </a:r>
        </a:p>
        <a:p>
          <a:pPr algn="l" rtl="0">
            <a:lnSpc>
              <a:spcPts val="1300"/>
            </a:lnSpc>
            <a:defRPr sz="1000"/>
          </a:pPr>
          <a:r>
            <a:rPr lang="en-US" sz="1200" b="1" i="0" u="none" strike="noStrike" baseline="0">
              <a:solidFill>
                <a:srgbClr val="000000"/>
              </a:solidFill>
              <a:latin typeface="Times New Roman" pitchFamily="1" charset="0"/>
              <a:cs typeface="Times New Roman" pitchFamily="1" charset="0"/>
            </a:rPr>
            <a:t>		</a:t>
          </a:r>
          <a:r>
            <a:rPr lang="en-US" sz="1200" b="0" i="0" u="none" strike="noStrike" baseline="0">
              <a:solidFill>
                <a:srgbClr val="000000"/>
              </a:solidFill>
              <a:latin typeface="Times New Roman" pitchFamily="1" charset="0"/>
              <a:cs typeface="Times New Roman" pitchFamily="1" charset="0"/>
            </a:rPr>
            <a:t>Each species specific Jenkins_Total_B1 and B2 is presented in "coeff 1" tabl </a:t>
          </a:r>
        </a:p>
        <a:p>
          <a:pPr algn="l" rtl="0">
            <a:lnSpc>
              <a:spcPts val="1200"/>
            </a:lnSpc>
            <a:defRPr sz="1000"/>
          </a:pPr>
          <a:endParaRPr lang="en-US" sz="1200" b="0" i="0" u="none" strike="noStrike" baseline="0">
            <a:solidFill>
              <a:srgbClr val="000000"/>
            </a:solidFill>
            <a:latin typeface="Times New Roman" pitchFamily="1" charset="0"/>
            <a:cs typeface="Times New Roman" pitchFamily="1" charset="0"/>
          </a:endParaRPr>
        </a:p>
        <a:p>
          <a:pPr algn="l" rtl="0">
            <a:lnSpc>
              <a:spcPts val="1300"/>
            </a:lnSpc>
            <a:defRPr sz="1000"/>
          </a:pPr>
          <a:r>
            <a:rPr lang="en-US" sz="1200" b="0" i="0" u="none" strike="noStrike" baseline="0">
              <a:solidFill>
                <a:srgbClr val="000000"/>
              </a:solidFill>
              <a:latin typeface="Times New Roman" pitchFamily="1" charset="0"/>
              <a:cs typeface="Times New Roman" pitchFamily="1" charset="0"/>
            </a:rPr>
            <a:t>    Stem_ratio = Exp( Jenkins_Stem_Wood_Ratio_B1 + Jenkins_Stem_Wood_Ratio_B2 / ( DBH × 2.54 ))</a:t>
          </a: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Each species specific Jenkins_Stem_Wood_Ratio_B1 and B2 is presented in "coeff 1" tabl </a:t>
          </a:r>
        </a:p>
        <a:p>
          <a:pPr algn="l" rtl="0">
            <a:lnSpc>
              <a:spcPts val="1300"/>
            </a:lnSpc>
            <a:defRPr sz="1000"/>
          </a:pPr>
          <a:endParaRPr lang="en-US" sz="1200" b="0" i="0" u="none" strike="noStrike" baseline="0">
            <a:solidFill>
              <a:srgbClr val="000000"/>
            </a:solidFill>
            <a:latin typeface="Times New Roman" pitchFamily="1" charset="0"/>
            <a:cs typeface="Times New Roman" pitchFamily="1" charset="0"/>
          </a:endParaRP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Bark_ratio = Exp( Jenkins_Stem_Bark_Ratio_B1 + Jenkins_Stem_Bark_Ratio_B2 / ( DBH × 2.54 ))</a:t>
          </a:r>
        </a:p>
        <a:p>
          <a:pPr algn="l" rtl="0">
            <a:lnSpc>
              <a:spcPts val="1300"/>
            </a:lnSpc>
            <a:defRPr sz="1000"/>
          </a:pPr>
          <a:r>
            <a:rPr lang="en-US" sz="1200" b="0" i="0" u="none" strike="noStrike" baseline="0">
              <a:solidFill>
                <a:srgbClr val="000000"/>
              </a:solidFill>
              <a:latin typeface="Times New Roman" pitchFamily="1" charset="0"/>
              <a:cs typeface="Times New Roman" pitchFamily="1" charset="0"/>
            </a:rPr>
            <a:t>		Each species specific Jenkins_Stem_Bark_Ratio_B1 and B2 is presented in "coeff 1" tabl </a:t>
          </a:r>
        </a:p>
        <a:p>
          <a:pPr algn="l" rtl="0">
            <a:lnSpc>
              <a:spcPts val="1200"/>
            </a:lnSpc>
            <a:defRPr sz="1000"/>
          </a:pPr>
          <a:endParaRPr lang="en-US" sz="1200" b="0" i="0" u="none" strike="noStrike" baseline="0">
            <a:solidFill>
              <a:srgbClr val="000000"/>
            </a:solidFill>
            <a:latin typeface="Times New Roman" pitchFamily="1" charset="0"/>
            <a:cs typeface="Times New Roman" pitchFamily="1" charset="0"/>
          </a:endParaRPr>
        </a:p>
        <a:p>
          <a:pPr algn="l" rtl="0">
            <a:lnSpc>
              <a:spcPts val="1300"/>
            </a:lnSpc>
            <a:defRPr sz="1000"/>
          </a:pPr>
          <a:r>
            <a:rPr lang="en-US" sz="1200" b="0" i="0" u="none" strike="noStrike" baseline="0">
              <a:solidFill>
                <a:srgbClr val="000000"/>
              </a:solidFill>
              <a:latin typeface="Times New Roman" pitchFamily="1" charset="0"/>
              <a:cs typeface="Times New Roman" pitchFamily="1" charset="0"/>
            </a:rPr>
            <a:t>    Foliage_ratio = Exp( Jenkins_Foliage_Ratio_B1 + Jenkins_Foliage_Ratio_B2 / ( DBH × 2.54 ))</a:t>
          </a: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Each species specific Jenkins_Foliage_Ratio_B1 and B2 is presented in "coeff 1" tabl </a:t>
          </a:r>
        </a:p>
        <a:p>
          <a:pPr algn="l" rtl="0">
            <a:lnSpc>
              <a:spcPts val="1300"/>
            </a:lnSpc>
            <a:defRPr sz="1000"/>
          </a:pPr>
          <a:endParaRPr lang="en-US" sz="1200" b="0" i="0" u="none" strike="noStrike" baseline="0">
            <a:solidFill>
              <a:srgbClr val="000000"/>
            </a:solidFill>
            <a:latin typeface="Times New Roman" pitchFamily="1" charset="0"/>
            <a:cs typeface="Times New Roman" pitchFamily="1" charset="0"/>
          </a:endParaRP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a:t>
          </a:r>
          <a:r>
            <a:rPr lang="en-US" sz="1200" b="1" i="0" u="none" strike="noStrike" baseline="0">
              <a:solidFill>
                <a:srgbClr val="000000"/>
              </a:solidFill>
              <a:latin typeface="Times New Roman" pitchFamily="1" charset="0"/>
              <a:cs typeface="Times New Roman" pitchFamily="1" charset="0"/>
            </a:rPr>
            <a:t>Stem_biomass_Jenkins (lbs) = Total_AG_biomass_Jenkins × Stem_ratio </a:t>
          </a:r>
        </a:p>
        <a:p>
          <a:pPr algn="l" rtl="0">
            <a:lnSpc>
              <a:spcPts val="1300"/>
            </a:lnSpc>
            <a:defRPr sz="1000"/>
          </a:pPr>
          <a:r>
            <a:rPr lang="en-US" sz="1200" b="1" i="0" u="none" strike="noStrike" baseline="0">
              <a:solidFill>
                <a:srgbClr val="000000"/>
              </a:solidFill>
              <a:latin typeface="Times New Roman" pitchFamily="1" charset="0"/>
              <a:cs typeface="Times New Roman" pitchFamily="1" charset="0"/>
            </a:rPr>
            <a:t>	</a:t>
          </a: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a:t>
          </a:r>
          <a:r>
            <a:rPr lang="en-US" sz="1200" b="1" i="0" u="none" strike="noStrike" baseline="0">
              <a:solidFill>
                <a:srgbClr val="000000"/>
              </a:solidFill>
              <a:latin typeface="Times New Roman" pitchFamily="1" charset="0"/>
              <a:cs typeface="Times New Roman" pitchFamily="1" charset="0"/>
            </a:rPr>
            <a:t>Bark_biomass_Jenkins (lbs) = Total_AG_biomass_Jenkins × Bark_ratio</a:t>
          </a:r>
        </a:p>
        <a:p>
          <a:pPr algn="l" rtl="0">
            <a:lnSpc>
              <a:spcPts val="1300"/>
            </a:lnSpc>
            <a:defRPr sz="1000"/>
          </a:pPr>
          <a:endParaRPr lang="en-US" sz="1200" b="1" i="0" u="none" strike="noStrike" baseline="0">
            <a:solidFill>
              <a:srgbClr val="000000"/>
            </a:solidFill>
            <a:latin typeface="Times New Roman" pitchFamily="1" charset="0"/>
            <a:cs typeface="Times New Roman" pitchFamily="1" charset="0"/>
          </a:endParaRP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a:t>
          </a:r>
          <a:r>
            <a:rPr lang="en-US" sz="1200" b="1" i="0" u="none" strike="noStrike" baseline="0">
              <a:solidFill>
                <a:srgbClr val="000000"/>
              </a:solidFill>
              <a:latin typeface="Times New Roman" pitchFamily="1" charset="0"/>
              <a:cs typeface="Times New Roman" pitchFamily="1" charset="0"/>
            </a:rPr>
            <a:t>Bole_biomass_Jenkins (lbs) = Stem_biomass_Jenkins + Bark_biomass_Jenkins</a:t>
          </a:r>
        </a:p>
        <a:p>
          <a:pPr algn="l" rtl="0">
            <a:lnSpc>
              <a:spcPts val="1300"/>
            </a:lnSpc>
            <a:defRPr sz="1000"/>
          </a:pPr>
          <a:endParaRPr lang="en-US" sz="1200" b="1" i="0" u="none" strike="noStrike" baseline="0">
            <a:solidFill>
              <a:srgbClr val="000000"/>
            </a:solidFill>
            <a:latin typeface="Times New Roman" pitchFamily="1" charset="0"/>
            <a:cs typeface="Times New Roman" pitchFamily="1" charset="0"/>
          </a:endParaRP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a:t>
          </a:r>
          <a:r>
            <a:rPr lang="en-US" sz="1200" b="1" i="0" u="none" strike="noStrike" baseline="0">
              <a:solidFill>
                <a:srgbClr val="000000"/>
              </a:solidFill>
              <a:latin typeface="Times New Roman" pitchFamily="1" charset="0"/>
              <a:cs typeface="Times New Roman" pitchFamily="1" charset="0"/>
            </a:rPr>
            <a:t>Foliage_biomass_Jenkins (lbs) = Total_AG_biomass_Jenkins × Foliage_ratio</a:t>
          </a:r>
        </a:p>
        <a:p>
          <a:pPr algn="l" rtl="0">
            <a:lnSpc>
              <a:spcPts val="1300"/>
            </a:lnSpc>
            <a:defRPr sz="1000"/>
          </a:pPr>
          <a:endParaRPr lang="en-US" sz="1200" b="1" i="0" u="none" strike="noStrike" baseline="0">
            <a:solidFill>
              <a:srgbClr val="000000"/>
            </a:solidFill>
            <a:latin typeface="Times New Roman" pitchFamily="1" charset="0"/>
            <a:cs typeface="Times New Roman" pitchFamily="1" charset="0"/>
          </a:endParaRP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a:t>
          </a:r>
          <a:r>
            <a:rPr lang="en-US" sz="1200" b="1" i="0" u="none" strike="noStrike" baseline="0">
              <a:solidFill>
                <a:srgbClr val="000000"/>
              </a:solidFill>
              <a:latin typeface="Times New Roman" pitchFamily="1" charset="0"/>
              <a:cs typeface="Times New Roman" pitchFamily="1" charset="0"/>
            </a:rPr>
            <a:t>Stump_biomass (lbs) = Stump Bark Biomass + Stump Wood Biomass</a:t>
          </a:r>
        </a:p>
        <a:p>
          <a:pPr algn="l" rtl="0">
            <a:lnSpc>
              <a:spcPts val="1300"/>
            </a:lnSpc>
            <a:defRPr sz="1000"/>
          </a:pPr>
          <a:r>
            <a:rPr lang="en-US" sz="1200" b="0" i="0" u="none" strike="noStrike" baseline="0">
              <a:solidFill>
                <a:srgbClr val="000000"/>
              </a:solidFill>
              <a:latin typeface="Times New Roman" pitchFamily="1" charset="0"/>
              <a:cs typeface="Times New Roman" pitchFamily="1" charset="0"/>
            </a:rPr>
            <a:t>         </a:t>
          </a:r>
        </a:p>
        <a:p>
          <a:pPr algn="l" rtl="0">
            <a:lnSpc>
              <a:spcPts val="1300"/>
            </a:lnSpc>
            <a:defRPr sz="1000"/>
          </a:pPr>
          <a:r>
            <a:rPr lang="en-US" sz="1200" b="0" i="0" u="none" strike="noStrike" baseline="0">
              <a:solidFill>
                <a:srgbClr val="000000"/>
              </a:solidFill>
              <a:latin typeface="Times New Roman" pitchFamily="1" charset="0"/>
              <a:cs typeface="Times New Roman" pitchFamily="1" charset="0"/>
            </a:rPr>
            <a:t>                Stump_vol_DIB = 0.005454153 </a:t>
          </a:r>
          <a:r>
            <a:rPr lang="en-US" sz="1200" b="1" i="0" u="none" strike="noStrike" baseline="0">
              <a:solidFill>
                <a:srgbClr val="000000"/>
              </a:solidFill>
              <a:latin typeface="Times New Roman" pitchFamily="1" charset="0"/>
              <a:cs typeface="Times New Roman" pitchFamily="1" charset="0"/>
            </a:rPr>
            <a:t>× </a:t>
          </a:r>
          <a:r>
            <a:rPr lang="en-US" sz="1200" b="0" i="0" u="none" strike="noStrike" baseline="0">
              <a:solidFill>
                <a:srgbClr val="000000"/>
              </a:solidFill>
              <a:latin typeface="Times New Roman" pitchFamily="1" charset="0"/>
              <a:cs typeface="Times New Roman" pitchFamily="1" charset="0"/>
            </a:rPr>
            <a:t>DBH2 </a:t>
          </a:r>
          <a:r>
            <a:rPr lang="en-US" sz="1200" b="1" i="0" u="none" strike="noStrike" baseline="0">
              <a:solidFill>
                <a:srgbClr val="000000"/>
              </a:solidFill>
              <a:latin typeface="Times New Roman" pitchFamily="1" charset="0"/>
              <a:cs typeface="Times New Roman" pitchFamily="1" charset="0"/>
            </a:rPr>
            <a:t>× </a:t>
          </a:r>
          <a:r>
            <a:rPr lang="en-US" sz="1200" b="0" i="0" u="none" strike="noStrike" baseline="0">
              <a:solidFill>
                <a:srgbClr val="000000"/>
              </a:solidFill>
              <a:latin typeface="Times New Roman" pitchFamily="1" charset="0"/>
              <a:cs typeface="Times New Roman" pitchFamily="1" charset="0"/>
            </a:rPr>
            <a:t>(  A2 </a:t>
          </a:r>
          <a:r>
            <a:rPr lang="en-US" sz="1200" b="1" i="0" u="none" strike="noStrike" baseline="0">
              <a:solidFill>
                <a:srgbClr val="000000"/>
              </a:solidFill>
              <a:latin typeface="Times New Roman" pitchFamily="1" charset="0"/>
              <a:cs typeface="Times New Roman" pitchFamily="1" charset="0"/>
            </a:rPr>
            <a:t>+ </a:t>
          </a:r>
          <a:r>
            <a:rPr lang="en-US" sz="1200" b="0" i="0" u="none" strike="noStrike" baseline="0">
              <a:solidFill>
                <a:srgbClr val="000000"/>
              </a:solidFill>
              <a:latin typeface="Times New Roman" pitchFamily="1" charset="0"/>
              <a:cs typeface="Times New Roman" pitchFamily="1" charset="0"/>
            </a:rPr>
            <a:t>(5.62462 × A × B ) + (8.50038 </a:t>
          </a:r>
          <a:r>
            <a:rPr lang="en-US" sz="1200" b="1" i="0" u="none" strike="noStrike" baseline="0">
              <a:solidFill>
                <a:srgbClr val="000000"/>
              </a:solidFill>
              <a:latin typeface="Times New Roman" pitchFamily="1" charset="0"/>
              <a:cs typeface="Times New Roman" pitchFamily="1" charset="0"/>
            </a:rPr>
            <a:t>×</a:t>
          </a:r>
          <a:r>
            <a:rPr lang="en-US" sz="1000" b="0" i="0" u="none" strike="noStrike" baseline="0">
              <a:solidFill>
                <a:srgbClr val="000000"/>
              </a:solidFill>
              <a:latin typeface="Calibri" charset="0"/>
              <a:cs typeface="Calibri" charset="0"/>
            </a:rPr>
            <a:t> </a:t>
          </a:r>
          <a:r>
            <a:rPr lang="en-US" sz="1200" b="0" i="0" u="none" strike="noStrike" baseline="0">
              <a:solidFill>
                <a:srgbClr val="000000"/>
              </a:solidFill>
              <a:latin typeface="Times New Roman" pitchFamily="1" charset="0"/>
              <a:cs typeface="Times New Roman" pitchFamily="1" charset="0"/>
            </a:rPr>
            <a:t>B2) )  </a:t>
          </a: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A: Raile_Stump_DIB_B1 in "coeff 1" tab</a:t>
          </a: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B: Raile_Stump_DIB_B2 in "coeff 1" tab</a:t>
          </a:r>
        </a:p>
        <a:p>
          <a:pPr algn="l" rtl="0">
            <a:lnSpc>
              <a:spcPts val="1300"/>
            </a:lnSpc>
            <a:defRPr sz="1000"/>
          </a:pPr>
          <a:endParaRPr lang="en-US" sz="1200" b="0" i="0" u="none" strike="noStrike" baseline="0">
            <a:solidFill>
              <a:srgbClr val="000000"/>
            </a:solidFill>
            <a:latin typeface="Times New Roman" pitchFamily="1" charset="0"/>
            <a:cs typeface="Times New Roman" pitchFamily="1" charset="0"/>
          </a:endParaRPr>
        </a:p>
        <a:p>
          <a:pPr algn="l" rtl="0">
            <a:lnSpc>
              <a:spcPts val="1300"/>
            </a:lnSpc>
            <a:defRPr sz="1000"/>
          </a:pPr>
          <a:r>
            <a:rPr lang="en-US" sz="1200" b="0" i="0" u="none" strike="noStrike" baseline="0">
              <a:solidFill>
                <a:srgbClr val="000000"/>
              </a:solidFill>
              <a:latin typeface="Times New Roman" pitchFamily="1" charset="0"/>
              <a:cs typeface="Times New Roman" pitchFamily="1" charset="0"/>
            </a:rPr>
            <a:t>                Stump_vol_DOB = ( 0.005454153 </a:t>
          </a:r>
          <a:r>
            <a:rPr lang="en-US" sz="1200" b="1" i="0" u="none" strike="noStrike" baseline="0">
              <a:solidFill>
                <a:srgbClr val="000000"/>
              </a:solidFill>
              <a:latin typeface="Times New Roman" pitchFamily="1" charset="0"/>
              <a:cs typeface="Times New Roman" pitchFamily="1" charset="0"/>
            </a:rPr>
            <a:t>× </a:t>
          </a:r>
          <a:r>
            <a:rPr lang="en-US" sz="1200" b="0" i="0" u="none" strike="noStrike" baseline="0">
              <a:solidFill>
                <a:srgbClr val="000000"/>
              </a:solidFill>
              <a:latin typeface="Times New Roman" pitchFamily="1" charset="0"/>
              <a:cs typeface="Times New Roman" pitchFamily="1" charset="0"/>
            </a:rPr>
            <a:t>DBH2 </a:t>
          </a:r>
          <a:r>
            <a:rPr lang="en-US" sz="1200" b="1" i="0" u="none" strike="noStrike" baseline="0">
              <a:solidFill>
                <a:srgbClr val="000000"/>
              </a:solidFill>
              <a:latin typeface="Times New Roman" pitchFamily="1" charset="0"/>
              <a:cs typeface="Times New Roman" pitchFamily="1" charset="0"/>
            </a:rPr>
            <a:t>× </a:t>
          </a:r>
          <a:r>
            <a:rPr lang="en-US" sz="1200" b="0" i="0" u="none" strike="noStrike" baseline="0">
              <a:solidFill>
                <a:srgbClr val="000000"/>
              </a:solidFill>
              <a:latin typeface="Times New Roman" pitchFamily="1" charset="0"/>
              <a:cs typeface="Times New Roman" pitchFamily="1" charset="0"/>
            </a:rPr>
            <a:t>(  1 </a:t>
          </a:r>
          <a:r>
            <a:rPr lang="en-US" sz="1200" b="1" i="0" u="none" strike="noStrike" baseline="0">
              <a:solidFill>
                <a:srgbClr val="000000"/>
              </a:solidFill>
              <a:latin typeface="Times New Roman" pitchFamily="1" charset="0"/>
              <a:cs typeface="Times New Roman" pitchFamily="1" charset="0"/>
            </a:rPr>
            <a:t>+ </a:t>
          </a:r>
          <a:r>
            <a:rPr lang="en-US" sz="1200" b="0" i="0" u="none" strike="noStrike" baseline="0">
              <a:solidFill>
                <a:srgbClr val="000000"/>
              </a:solidFill>
              <a:latin typeface="Times New Roman" pitchFamily="1" charset="0"/>
              <a:cs typeface="Times New Roman" pitchFamily="1" charset="0"/>
            </a:rPr>
            <a:t>(5.62462 × C ) + (8.50038 </a:t>
          </a:r>
          <a:r>
            <a:rPr lang="en-US" sz="1200" b="1" i="0" u="none" strike="noStrike" baseline="0">
              <a:solidFill>
                <a:srgbClr val="000000"/>
              </a:solidFill>
              <a:latin typeface="Times New Roman" pitchFamily="1" charset="0"/>
              <a:cs typeface="Times New Roman" pitchFamily="1" charset="0"/>
            </a:rPr>
            <a:t>×</a:t>
          </a:r>
          <a:r>
            <a:rPr lang="en-US" sz="1000" b="0" i="0" u="none" strike="noStrike" baseline="0">
              <a:solidFill>
                <a:srgbClr val="000000"/>
              </a:solidFill>
              <a:latin typeface="Calibri" charset="0"/>
              <a:cs typeface="Calibri" charset="0"/>
            </a:rPr>
            <a:t> </a:t>
          </a:r>
          <a:r>
            <a:rPr lang="en-US" sz="1200" b="0" i="0" u="none" strike="noStrike" baseline="0">
              <a:solidFill>
                <a:srgbClr val="000000"/>
              </a:solidFill>
              <a:latin typeface="Times New Roman" pitchFamily="1" charset="0"/>
              <a:cs typeface="Times New Roman" pitchFamily="1" charset="0"/>
            </a:rPr>
            <a:t>C2) ) </a:t>
          </a: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C: Raile_Stump_DOB_B1 in "coeff 1" tab</a:t>
          </a:r>
        </a:p>
        <a:p>
          <a:pPr algn="l" rtl="0">
            <a:lnSpc>
              <a:spcPts val="1300"/>
            </a:lnSpc>
            <a:defRPr sz="1000"/>
          </a:pPr>
          <a:endParaRPr lang="en-US" sz="1200" b="0" i="0" u="none" strike="noStrike" baseline="0">
            <a:solidFill>
              <a:srgbClr val="000000"/>
            </a:solidFill>
            <a:latin typeface="Times New Roman" pitchFamily="1" charset="0"/>
            <a:cs typeface="Times New Roman" pitchFamily="1" charset="0"/>
          </a:endParaRP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Stump Bark Biomas = (Stump_vol_DOB - Stump_vol_DIB ) × Bark_SPGR_GREENVOL_DRYW × 62.4</a:t>
          </a:r>
        </a:p>
        <a:p>
          <a:pPr algn="l" rtl="0">
            <a:lnSpc>
              <a:spcPts val="1300"/>
            </a:lnSpc>
            <a:defRPr sz="1000"/>
          </a:pPr>
          <a:endParaRPr lang="en-US" sz="1200" b="0" i="0" u="none" strike="noStrike" baseline="0">
            <a:solidFill>
              <a:srgbClr val="000000"/>
            </a:solidFill>
            <a:latin typeface="Times New Roman" pitchFamily="1" charset="0"/>
            <a:cs typeface="Times New Roman" pitchFamily="1" charset="0"/>
          </a:endParaRP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Stump Wood Biomass = Stump_vol_DIB × Wood_SPGR_GREENVOL_DRYW × 62.4</a:t>
          </a:r>
        </a:p>
        <a:p>
          <a:pPr algn="l" rtl="0">
            <a:lnSpc>
              <a:spcPts val="1300"/>
            </a:lnSpc>
            <a:defRPr sz="1000"/>
          </a:pPr>
          <a:r>
            <a:rPr lang="en-US" sz="1200" b="0" i="0" u="none" strike="noStrike" baseline="0">
              <a:solidFill>
                <a:srgbClr val="000000"/>
              </a:solidFill>
              <a:latin typeface="Times New Roman" pitchFamily="1" charset="0"/>
              <a:cs typeface="Times New Roman" pitchFamily="1" charset="0"/>
            </a:rPr>
            <a:t> </a:t>
          </a: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a:t>
          </a:r>
        </a:p>
        <a:p>
          <a:pPr algn="l" rtl="0">
            <a:lnSpc>
              <a:spcPts val="1300"/>
            </a:lnSpc>
            <a:defRPr sz="1000"/>
          </a:pPr>
          <a:r>
            <a:rPr lang="en-US" sz="1200" b="0" i="0" u="none" strike="noStrike" baseline="0">
              <a:solidFill>
                <a:srgbClr val="000000"/>
              </a:solidFill>
              <a:latin typeface="Times New Roman" pitchFamily="1" charset="0"/>
              <a:cs typeface="Times New Roman" pitchFamily="1" charset="0"/>
            </a:rPr>
            <a:t>    </a:t>
          </a:r>
          <a:r>
            <a:rPr lang="en-US" sz="1200" b="1" i="0" u="none" strike="noStrike" baseline="0">
              <a:solidFill>
                <a:srgbClr val="000000"/>
              </a:solidFill>
              <a:latin typeface="Times New Roman" pitchFamily="1" charset="0"/>
              <a:cs typeface="Times New Roman" pitchFamily="1" charset="0"/>
            </a:rPr>
            <a:t>Top_biomass_Jenkins (lbs) = ( Total_AG_biomass_Jenkins - Stem_biomass_Jenkins - Bark_biomass_jenkins -    			         Foliage_biomass_Jenkins - Stump_biomass )</a:t>
          </a:r>
        </a:p>
        <a:p>
          <a:pPr algn="l" rtl="0">
            <a:lnSpc>
              <a:spcPts val="1200"/>
            </a:lnSpc>
            <a:defRPr sz="1000"/>
          </a:pPr>
          <a:endParaRPr lang="en-US" sz="1200" b="1" i="0" u="none" strike="noStrike" baseline="0">
            <a:solidFill>
              <a:srgbClr val="000000"/>
            </a:solidFill>
            <a:latin typeface="Times New Roman" pitchFamily="1" charset="0"/>
            <a:cs typeface="Times New Roman" pitchFamily="1" charset="0"/>
          </a:endParaRPr>
        </a:p>
        <a:p>
          <a:pPr algn="l" rtl="0">
            <a:lnSpc>
              <a:spcPts val="1200"/>
            </a:lnSpc>
            <a:defRPr sz="1000"/>
          </a:pPr>
          <a:endParaRPr lang="en-US" sz="1200" b="1" i="0" u="none" strike="noStrike" baseline="0">
            <a:solidFill>
              <a:srgbClr val="000000"/>
            </a:solidFill>
            <a:latin typeface="Times New Roman" pitchFamily="1" charset="0"/>
            <a:cs typeface="Times New Roman" pitchFamily="1" charset="0"/>
          </a:endParaRPr>
        </a:p>
        <a:p>
          <a:pPr algn="l" rtl="0">
            <a:lnSpc>
              <a:spcPts val="1300"/>
            </a:lnSpc>
            <a:defRPr sz="1000"/>
          </a:pPr>
          <a:endParaRPr lang="en-US" sz="1200" b="1" i="0" u="none" strike="noStrike" baseline="0">
            <a:solidFill>
              <a:srgbClr val="000000"/>
            </a:solidFill>
            <a:latin typeface="Times New Roman" pitchFamily="1" charset="0"/>
            <a:cs typeface="Times New Roman" pitchFamily="1" charset="0"/>
          </a:endParaRP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a:t>
          </a:r>
          <a:r>
            <a:rPr lang="en-US" sz="1200" b="1" i="0" u="none" strike="noStrike" baseline="0">
              <a:solidFill>
                <a:srgbClr val="000000"/>
              </a:solidFill>
              <a:latin typeface="Times New Roman" pitchFamily="1" charset="0"/>
              <a:cs typeface="Times New Roman" pitchFamily="1" charset="0"/>
            </a:rPr>
            <a:t>5) </a:t>
          </a:r>
        </a:p>
        <a:p>
          <a:pPr algn="l" rtl="0">
            <a:lnSpc>
              <a:spcPts val="1300"/>
            </a:lnSpc>
            <a:defRPr sz="1000"/>
          </a:pPr>
          <a:r>
            <a:rPr lang="en-US" sz="1200" b="1" i="0" u="none" strike="noStrike" baseline="0">
              <a:solidFill>
                <a:srgbClr val="000000"/>
              </a:solidFill>
              <a:latin typeface="Times New Roman" pitchFamily="1" charset="0"/>
              <a:cs typeface="Times New Roman" pitchFamily="1" charset="0"/>
            </a:rPr>
            <a:t>    </a:t>
          </a:r>
          <a:r>
            <a:rPr lang="en-US" sz="1200" b="1" i="0" u="none" strike="noStrike" baseline="0">
              <a:solidFill>
                <a:srgbClr val="FF0000"/>
              </a:solidFill>
              <a:latin typeface="Times New Roman" pitchFamily="1" charset="0"/>
              <a:cs typeface="Times New Roman" pitchFamily="1" charset="0"/>
            </a:rPr>
            <a:t>DRYBIO_TOP (lbs) </a:t>
          </a:r>
          <a:r>
            <a:rPr lang="en-US" sz="1200" b="1" i="0" u="none" strike="noStrike" baseline="0">
              <a:solidFill>
                <a:srgbClr val="000000"/>
              </a:solidFill>
              <a:latin typeface="Times New Roman" pitchFamily="1" charset="0"/>
              <a:cs typeface="Times New Roman" pitchFamily="1" charset="0"/>
            </a:rPr>
            <a:t>= Top_biomass_Jenkins × AdjFac</a:t>
          </a:r>
        </a:p>
        <a:p>
          <a:pPr algn="l" rtl="0">
            <a:lnSpc>
              <a:spcPts val="1200"/>
            </a:lnSpc>
            <a:defRPr sz="1000"/>
          </a:pPr>
          <a:endParaRPr lang="en-US" sz="1200" b="1" i="0" u="none" strike="noStrike" baseline="0">
            <a:solidFill>
              <a:srgbClr val="000000"/>
            </a:solidFill>
            <a:latin typeface="Times New Roman" pitchFamily="1" charset="0"/>
            <a:cs typeface="Times New Roman" pitchFamily="1" charset="0"/>
          </a:endParaRPr>
        </a:p>
        <a:p>
          <a:pPr algn="l" rtl="0">
            <a:lnSpc>
              <a:spcPts val="1300"/>
            </a:lnSpc>
            <a:defRPr sz="1000"/>
          </a:pPr>
          <a:r>
            <a:rPr lang="en-US" sz="1200" b="0" i="0" u="none" strike="noStrike" baseline="0">
              <a:solidFill>
                <a:srgbClr val="000000"/>
              </a:solidFill>
              <a:latin typeface="Times New Roman" pitchFamily="1" charset="0"/>
              <a:cs typeface="Times New Roman" pitchFamily="1" charset="0"/>
            </a:rPr>
            <a:t>                  	                   AdjFac = DRYBIO_BOLE / Bole_biomass_Jenkins</a:t>
          </a:r>
        </a:p>
        <a:p>
          <a:pPr algn="l" rtl="0">
            <a:lnSpc>
              <a:spcPts val="1200"/>
            </a:lnSpc>
            <a:defRPr sz="1000"/>
          </a:pPr>
          <a:endParaRPr lang="en-US" sz="1200" b="0" i="0" u="none" strike="noStrike" baseline="0">
            <a:solidFill>
              <a:srgbClr val="000000"/>
            </a:solidFill>
            <a:latin typeface="Times New Roman" pitchFamily="1" charset="0"/>
            <a:cs typeface="Times New Roman" pitchFamily="1" charset="0"/>
          </a:endParaRPr>
        </a:p>
        <a:p>
          <a:pPr algn="l" rtl="0">
            <a:lnSpc>
              <a:spcPts val="1300"/>
            </a:lnSpc>
            <a:defRPr sz="1000"/>
          </a:pPr>
          <a:r>
            <a:rPr lang="en-US" sz="1200" b="1" i="0" u="none" strike="noStrike" baseline="0">
              <a:solidFill>
                <a:srgbClr val="000000"/>
              </a:solidFill>
              <a:latin typeface="Times New Roman" pitchFamily="1" charset="0"/>
              <a:cs typeface="Times New Roman" pitchFamily="1" charset="0"/>
            </a:rPr>
            <a:t>    </a:t>
          </a:r>
          <a:r>
            <a:rPr lang="en-US" sz="1200" b="1" i="0" u="none" strike="noStrike" baseline="0">
              <a:solidFill>
                <a:srgbClr val="FF0000"/>
              </a:solidFill>
              <a:latin typeface="Times New Roman" pitchFamily="1" charset="0"/>
              <a:cs typeface="Times New Roman" pitchFamily="1" charset="0"/>
            </a:rPr>
            <a:t>DRYBIO_STUMP (lbs) </a:t>
          </a:r>
          <a:r>
            <a:rPr lang="en-US" sz="1200" b="1" i="0" u="none" strike="noStrike" baseline="0">
              <a:solidFill>
                <a:srgbClr val="000000"/>
              </a:solidFill>
              <a:latin typeface="Times New Roman" pitchFamily="1" charset="0"/>
              <a:cs typeface="Times New Roman" pitchFamily="1" charset="0"/>
            </a:rPr>
            <a:t>= Stump_biomass_Jenkins × AdjFac</a:t>
          </a:r>
        </a:p>
        <a:p>
          <a:pPr algn="l" rtl="0">
            <a:lnSpc>
              <a:spcPts val="1200"/>
            </a:lnSpc>
            <a:defRPr sz="1000"/>
          </a:pPr>
          <a:endParaRPr lang="en-US" sz="1200" b="1" i="0" u="none" strike="noStrike" baseline="0">
            <a:solidFill>
              <a:srgbClr val="000000"/>
            </a:solidFill>
            <a:latin typeface="Times New Roman" pitchFamily="1" charset="0"/>
            <a:cs typeface="Times New Roman" pitchFamily="1" charset="0"/>
          </a:endParaRPr>
        </a:p>
        <a:p>
          <a:pPr algn="l" rtl="0">
            <a:lnSpc>
              <a:spcPts val="1300"/>
            </a:lnSpc>
            <a:defRPr sz="1000"/>
          </a:pPr>
          <a:r>
            <a:rPr lang="en-US" sz="1200" b="0" i="0" u="none" strike="noStrike" baseline="0">
              <a:solidFill>
                <a:srgbClr val="000000"/>
              </a:solidFill>
              <a:latin typeface="Times New Roman" pitchFamily="1" charset="0"/>
              <a:cs typeface="Times New Roman" pitchFamily="1" charset="0"/>
            </a:rPr>
            <a:t>    </a:t>
          </a: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a:t>
          </a:r>
          <a:r>
            <a:rPr lang="en-US" sz="1200" b="1" i="0" u="none" strike="noStrike" baseline="0">
              <a:solidFill>
                <a:srgbClr val="FF0000"/>
              </a:solidFill>
              <a:latin typeface="Times New Roman" pitchFamily="1" charset="0"/>
              <a:cs typeface="Times New Roman" pitchFamily="1" charset="0"/>
            </a:rPr>
            <a:t>DRYBIOT (lbs)</a:t>
          </a:r>
          <a:r>
            <a:rPr lang="en-US" sz="1200" b="1" i="0" u="none" strike="noStrike" baseline="0">
              <a:solidFill>
                <a:srgbClr val="000000"/>
              </a:solidFill>
              <a:latin typeface="Times New Roman" pitchFamily="1" charset="0"/>
              <a:cs typeface="Times New Roman" pitchFamily="1" charset="0"/>
            </a:rPr>
            <a:t> = DRYBIO_BOLE + DRYBIO_TOP + DRYBIOT_STUMP</a:t>
          </a:r>
          <a:r>
            <a:rPr lang="en-US" sz="1200" b="0" i="0" u="none" strike="noStrike" baseline="0">
              <a:solidFill>
                <a:srgbClr val="000000"/>
              </a:solidFill>
              <a:latin typeface="Times New Roman" pitchFamily="1" charset="0"/>
              <a:cs typeface="Times New Roman" pitchFamily="1" charset="0"/>
            </a:rPr>
            <a:t>           </a:t>
          </a:r>
        </a:p>
        <a:p>
          <a:pPr algn="l" rtl="0">
            <a:lnSpc>
              <a:spcPts val="1300"/>
            </a:lnSpc>
            <a:defRPr sz="1000"/>
          </a:pPr>
          <a:r>
            <a:rPr lang="en-US" sz="1200" b="1" i="0" u="none" strike="noStrike" baseline="0">
              <a:solidFill>
                <a:srgbClr val="000000"/>
              </a:solidFill>
              <a:latin typeface="Times New Roman" pitchFamily="1" charset="0"/>
              <a:cs typeface="Times New Roman" pitchFamily="1" charset="0"/>
            </a:rPr>
            <a:t>    </a:t>
          </a:r>
        </a:p>
        <a:p>
          <a:pPr algn="l" rtl="0">
            <a:lnSpc>
              <a:spcPts val="1200"/>
            </a:lnSpc>
            <a:defRPr sz="1000"/>
          </a:pPr>
          <a:r>
            <a:rPr lang="en-US" sz="1200" b="0" i="0" u="none" strike="noStrike" baseline="0">
              <a:solidFill>
                <a:srgbClr val="000000"/>
              </a:solidFill>
              <a:latin typeface="Times New Roman" pitchFamily="1" charset="0"/>
              <a:cs typeface="Times New Roman" pitchFamily="1" charset="0"/>
            </a:rPr>
            <a:t>      </a:t>
          </a:r>
        </a:p>
      </xdr:txBody>
    </xdr:sp>
    <xdr:clientData/>
  </xdr:twoCellAnchor>
  <xdr:twoCellAnchor>
    <xdr:from>
      <xdr:col>3</xdr:col>
      <xdr:colOff>165100</xdr:colOff>
      <xdr:row>11</xdr:row>
      <xdr:rowOff>38100</xdr:rowOff>
    </xdr:from>
    <xdr:to>
      <xdr:col>10</xdr:col>
      <xdr:colOff>876300</xdr:colOff>
      <xdr:row>12</xdr:row>
      <xdr:rowOff>114300</xdr:rowOff>
    </xdr:to>
    <xdr:sp macro="" textlink="">
      <xdr:nvSpPr>
        <xdr:cNvPr id="6" name="TextBox 5">
          <a:extLst>
            <a:ext uri="{FF2B5EF4-FFF2-40B4-BE49-F238E27FC236}">
              <a16:creationId xmlns:a16="http://schemas.microsoft.com/office/drawing/2014/main" id="{90FF6AD0-72B5-C64C-A4A6-2AEE854B77B2}"/>
            </a:ext>
          </a:extLst>
        </xdr:cNvPr>
        <xdr:cNvSpPr txBox="1"/>
      </xdr:nvSpPr>
      <xdr:spPr>
        <a:xfrm>
          <a:off x="3098800" y="3276600"/>
          <a:ext cx="5740400" cy="33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Trunk Vol = bole + stump (outside bark)</a:t>
          </a:r>
        </a:p>
      </xdr:txBody>
    </xdr:sp>
    <xdr:clientData/>
  </xdr:twoCellAnchor>
  <xdr:twoCellAnchor>
    <xdr:from>
      <xdr:col>0</xdr:col>
      <xdr:colOff>12700</xdr:colOff>
      <xdr:row>43</xdr:row>
      <xdr:rowOff>50800</xdr:rowOff>
    </xdr:from>
    <xdr:to>
      <xdr:col>14</xdr:col>
      <xdr:colOff>787400</xdr:colOff>
      <xdr:row>57</xdr:row>
      <xdr:rowOff>50800</xdr:rowOff>
    </xdr:to>
    <xdr:sp macro="" textlink="">
      <xdr:nvSpPr>
        <xdr:cNvPr id="4" name="TextBox 3">
          <a:extLst>
            <a:ext uri="{FF2B5EF4-FFF2-40B4-BE49-F238E27FC236}">
              <a16:creationId xmlns:a16="http://schemas.microsoft.com/office/drawing/2014/main" id="{BF5941C7-7E70-4D47-B982-AEF0D43ECE9D}"/>
            </a:ext>
          </a:extLst>
        </xdr:cNvPr>
        <xdr:cNvSpPr txBox="1"/>
      </xdr:nvSpPr>
      <xdr:spPr>
        <a:xfrm>
          <a:off x="12700" y="10160000"/>
          <a:ext cx="14312900" cy="284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This worksheet allows the user to</a:t>
          </a:r>
          <a:r>
            <a:rPr lang="en-US" sz="1600" b="1" baseline="0"/>
            <a:t> </a:t>
          </a:r>
          <a:r>
            <a:rPr lang="en-US" sz="1600" b="1"/>
            <a:t>compare the trunk volume of a white pine computed through the FIA and the direct modeling method of the Native Tree Society (NTS) that employs a trunk form factor. Thus for a sample pine, its DBH,</a:t>
          </a:r>
          <a:r>
            <a:rPr lang="en-US" sz="1600" b="1" baseline="0"/>
            <a:t> height, and trunk form factor must be known to be able to make the comparison.  This worksheet applies the FIA model to get full above ground biomass as shown in cell O2.  </a:t>
          </a:r>
        </a:p>
        <a:p>
          <a:endParaRPr lang="en-US" sz="1600" b="1" baseline="0"/>
        </a:p>
        <a:p>
          <a:r>
            <a:rPr lang="en-US" sz="1600" b="1" baseline="0"/>
            <a:t>The volume comparisons are cells </a:t>
          </a:r>
          <a:r>
            <a:rPr lang="en-US" sz="1600" b="1" baseline="0">
              <a:solidFill>
                <a:srgbClr val="FF0000"/>
              </a:solidFill>
            </a:rPr>
            <a:t>K10</a:t>
          </a:r>
          <a:r>
            <a:rPr lang="en-US" sz="1600" b="1" baseline="0"/>
            <a:t> and </a:t>
          </a:r>
          <a:r>
            <a:rPr lang="en-US" sz="1600" b="1" baseline="0">
              <a:solidFill>
                <a:srgbClr val="FF0000"/>
              </a:solidFill>
            </a:rPr>
            <a:t>L37</a:t>
          </a:r>
          <a:r>
            <a:rPr lang="en-US" sz="1600" b="1" baseline="0"/>
            <a:t>. </a:t>
          </a:r>
        </a:p>
        <a:p>
          <a:endParaRPr lang="en-US" sz="1600" b="1" baseline="0"/>
        </a:p>
        <a:p>
          <a:r>
            <a:rPr lang="en-US" sz="1600" b="1" baseline="0"/>
            <a:t>To get a direct NTS to FIA stump volume comparison enter the circumference at the base and one foot above (if available) in cells G42 and I42 above, The comparison will be to that in cell L25.  </a:t>
          </a:r>
          <a:endParaRPr lang="en-US" sz="1600" b="1"/>
        </a:p>
      </xdr:txBody>
    </xdr:sp>
    <xdr:clientData/>
  </xdr:twoCellAnchor>
  <xdr:twoCellAnchor>
    <xdr:from>
      <xdr:col>16</xdr:col>
      <xdr:colOff>228600</xdr:colOff>
      <xdr:row>0</xdr:row>
      <xdr:rowOff>76200</xdr:rowOff>
    </xdr:from>
    <xdr:to>
      <xdr:col>26</xdr:col>
      <xdr:colOff>800100</xdr:colOff>
      <xdr:row>9</xdr:row>
      <xdr:rowOff>76200</xdr:rowOff>
    </xdr:to>
    <xdr:sp macro="" textlink="">
      <xdr:nvSpPr>
        <xdr:cNvPr id="5" name="TextBox 4">
          <a:extLst>
            <a:ext uri="{FF2B5EF4-FFF2-40B4-BE49-F238E27FC236}">
              <a16:creationId xmlns:a16="http://schemas.microsoft.com/office/drawing/2014/main" id="{28F580F2-C082-A34B-A06D-4E19B5E16BAE}"/>
            </a:ext>
          </a:extLst>
        </xdr:cNvPr>
        <xdr:cNvSpPr txBox="1"/>
      </xdr:nvSpPr>
      <xdr:spPr>
        <a:xfrm>
          <a:off x="18199100" y="76200"/>
          <a:ext cx="8407400" cy="275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Row #3 shows Jenkins determinations. Jenkins VOLCFGRS is based on a model that uses only DBH.</a:t>
          </a:r>
        </a:p>
        <a:p>
          <a:endParaRPr lang="en-US" sz="1400" b="1"/>
        </a:p>
        <a:p>
          <a:r>
            <a:rPr lang="en-US" sz="1400" b="1"/>
            <a:t>Cell P2 shows the trunk form factor computed as follows:   =K7/((G2/12)^2/4*PI()*H2)</a:t>
          </a:r>
        </a:p>
        <a:p>
          <a:endParaRPr lang="en-US" sz="1400" b="1"/>
        </a:p>
        <a:p>
          <a:r>
            <a:rPr lang="en-US" sz="1400" b="1"/>
            <a:t>The calculations</a:t>
          </a:r>
          <a:r>
            <a:rPr lang="en-US" sz="1400" b="1" baseline="0"/>
            <a:t> on row #2 use the COLE regression-based model. It uses both DBH and Height to compute VOLCFGRS, and elements of Jenkins model and Raile determination of stump volume and mass. It is a hybrid model.</a:t>
          </a:r>
        </a:p>
        <a:p>
          <a:endParaRPr lang="en-US" sz="1400" b="1" baseline="0"/>
        </a:p>
        <a:p>
          <a:r>
            <a:rPr lang="en-US" sz="1400" b="1" baseline="0"/>
            <a:t>The top to (bole + stump ratio) shown in cell N36  varies  with DBH. </a:t>
          </a:r>
        </a:p>
        <a:p>
          <a:r>
            <a:rPr lang="en-US" sz="1400" b="1" baseline="0"/>
            <a:t> </a:t>
          </a:r>
          <a:endParaRPr lang="en-US"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0210B-8E30-D147-A312-0E87CC048AF2}">
  <dimension ref="A1:P42"/>
  <sheetViews>
    <sheetView tabSelected="1" workbookViewId="0">
      <selection activeCell="G3" sqref="G3"/>
    </sheetView>
  </sheetViews>
  <sheetFormatPr baseColWidth="10" defaultRowHeight="16"/>
  <cols>
    <col min="2" max="2" width="25" customWidth="1"/>
    <col min="3" max="4" width="2.6640625" customWidth="1"/>
    <col min="5" max="5" width="3.83203125" customWidth="1"/>
    <col min="6" max="6" width="4" customWidth="1"/>
    <col min="7" max="7" width="15.6640625" bestFit="1" customWidth="1"/>
    <col min="8" max="8" width="13.83203125" customWidth="1"/>
    <col min="9" max="9" width="16.83203125" customWidth="1"/>
    <col min="10" max="10" width="14" customWidth="1"/>
    <col min="11" max="11" width="28.5" customWidth="1"/>
    <col min="12" max="12" width="25.5" customWidth="1"/>
    <col min="13" max="13" width="15.33203125" customWidth="1"/>
    <col min="14" max="14" width="20.83203125" customWidth="1"/>
    <col min="15" max="15" width="25.83203125" customWidth="1"/>
    <col min="16" max="16" width="15.33203125" customWidth="1"/>
    <col min="17" max="17" width="5.33203125" customWidth="1"/>
  </cols>
  <sheetData>
    <row r="1" spans="1:16" ht="44">
      <c r="A1" s="61" t="s">
        <v>129</v>
      </c>
      <c r="G1" s="126" t="s">
        <v>14</v>
      </c>
      <c r="H1" s="127" t="s">
        <v>128</v>
      </c>
      <c r="I1" s="128" t="s">
        <v>15</v>
      </c>
      <c r="J1" s="127" t="s">
        <v>7</v>
      </c>
      <c r="K1" s="129" t="s">
        <v>8</v>
      </c>
      <c r="L1" s="129" t="s">
        <v>9</v>
      </c>
      <c r="M1" s="129" t="s">
        <v>10</v>
      </c>
      <c r="N1" s="129" t="s">
        <v>11</v>
      </c>
      <c r="O1" s="129" t="s">
        <v>12</v>
      </c>
      <c r="P1" s="130" t="s">
        <v>13</v>
      </c>
    </row>
    <row r="2" spans="1:16" s="3" customFormat="1" ht="18" customHeight="1">
      <c r="A2" s="132">
        <v>802</v>
      </c>
      <c r="B2" s="133" t="s">
        <v>182</v>
      </c>
      <c r="C2" s="133" t="s">
        <v>183</v>
      </c>
      <c r="D2" s="133" t="s">
        <v>184</v>
      </c>
      <c r="E2" s="133"/>
      <c r="F2" s="133"/>
      <c r="G2" s="134">
        <f>4.95/PI()*12</f>
        <v>18.907607239317169</v>
      </c>
      <c r="H2" s="135">
        <v>97.6</v>
      </c>
      <c r="I2" s="136">
        <f>Coeff_2!H2*((G2^2)*H2)</f>
        <v>63.503015728859687</v>
      </c>
      <c r="J2" s="135">
        <v>0</v>
      </c>
      <c r="K2" s="136">
        <f t="shared" ref="K2" si="0">I2*(1-(J2/100))</f>
        <v>63.503015728859687</v>
      </c>
      <c r="L2" s="136">
        <f>(K2*Coeff_1!BH2/100)*(Coeff_1!AZ2*62.4)+(K2*Coeff_1!AX2*62.4)</f>
        <v>2732.6008099491905</v>
      </c>
      <c r="M2" s="136">
        <f>Coeff_2!X2*Coeff_2!Y2</f>
        <v>547.6495087409869</v>
      </c>
      <c r="N2" s="136">
        <f>Coeff_2!W2*Coeff_2!Y2</f>
        <v>128.16255090179018</v>
      </c>
      <c r="O2" s="136">
        <f t="shared" ref="O2" si="1">L2+M2+N2</f>
        <v>3408.412869591968</v>
      </c>
      <c r="P2" s="137">
        <f>K7/((G2/12)^2/4*PI()*H2)</f>
        <v>0.40612891890123692</v>
      </c>
    </row>
    <row r="3" spans="1:16" ht="22" thickBot="1">
      <c r="B3" s="64" t="s">
        <v>169</v>
      </c>
      <c r="I3" s="116">
        <f>Coeff_2!N2/(Coeff_1!AX2*62.4)</f>
        <v>64.0860902989902</v>
      </c>
      <c r="J3" s="108"/>
      <c r="K3" s="108"/>
      <c r="L3" s="116">
        <f>Coeff_2!P2</f>
        <v>2870.2218648099852</v>
      </c>
      <c r="M3" s="116">
        <f>Coeff_2!X2</f>
        <v>575.23059662346179</v>
      </c>
      <c r="N3" s="116">
        <f>Coeff_2!W2</f>
        <v>134.61715831628575</v>
      </c>
      <c r="O3" s="116">
        <f>L3+M3+N3</f>
        <v>3580.0696197497327</v>
      </c>
      <c r="P3" s="131">
        <f>Coeff_2!M2</f>
        <v>3649.7261278047108</v>
      </c>
    </row>
    <row r="4" spans="1:16" ht="21" thickBot="1">
      <c r="I4" s="70" t="s">
        <v>16</v>
      </c>
      <c r="J4" s="70"/>
      <c r="K4" s="70">
        <f>Coeff_1!BH2/100*K2</f>
        <v>10.160482516617551</v>
      </c>
      <c r="O4" s="109" t="s">
        <v>170</v>
      </c>
      <c r="P4" s="109" t="s">
        <v>171</v>
      </c>
    </row>
    <row r="5" spans="1:16" ht="29" thickBot="1">
      <c r="I5" s="70" t="s">
        <v>26</v>
      </c>
      <c r="J5" s="70"/>
      <c r="K5" s="70">
        <f>K2+K4</f>
        <v>73.663498245477243</v>
      </c>
      <c r="N5" s="50" t="s">
        <v>121</v>
      </c>
      <c r="O5" s="50">
        <f>O2*(1-Coeff_2!K2)</f>
        <v>3343.3619232492547</v>
      </c>
    </row>
    <row r="6" spans="1:16" ht="21" thickBot="1">
      <c r="I6" s="70" t="s">
        <v>118</v>
      </c>
      <c r="J6" s="70"/>
      <c r="K6" s="70">
        <f>0.005454153*(G2^2)*(1+(5.62462*Coeff_1!BJ2)+(8.50038*(Coeff_1!BJ2^2)))</f>
        <v>3.6248928213159308</v>
      </c>
      <c r="N6" s="50" t="s">
        <v>122</v>
      </c>
      <c r="O6" s="50">
        <f>Coeff_2!Q2</f>
        <v>69.656508054977877</v>
      </c>
    </row>
    <row r="7" spans="1:16" ht="22" thickBot="1">
      <c r="I7" s="72" t="s">
        <v>136</v>
      </c>
      <c r="J7" s="73"/>
      <c r="K7" s="74">
        <f>K5+K6</f>
        <v>77.288391066793167</v>
      </c>
      <c r="L7" s="74">
        <f>0.33363*H2*G10^2</f>
        <v>80.839862399341598</v>
      </c>
      <c r="M7" s="118">
        <f>(K7-L7)/K7</f>
        <v>-4.5950902632702295E-2</v>
      </c>
      <c r="N7" s="110" t="s">
        <v>141</v>
      </c>
      <c r="O7" s="110">
        <f>M2/(L2+N2)</f>
        <v>0.19143474648601469</v>
      </c>
    </row>
    <row r="8" spans="1:16" ht="21" thickBot="1">
      <c r="L8" s="117" t="s">
        <v>179</v>
      </c>
      <c r="M8" s="74" t="s">
        <v>180</v>
      </c>
      <c r="N8" s="74"/>
      <c r="O8" s="74"/>
    </row>
    <row r="9" spans="1:16" ht="22" thickBot="1">
      <c r="B9" s="15"/>
      <c r="C9" s="11"/>
      <c r="D9" s="11"/>
      <c r="E9" s="11"/>
      <c r="F9" s="11"/>
      <c r="G9" s="17" t="s">
        <v>19</v>
      </c>
      <c r="H9" s="45" t="s">
        <v>20</v>
      </c>
      <c r="I9" s="18" t="s">
        <v>21</v>
      </c>
      <c r="J9" s="17" t="s">
        <v>13</v>
      </c>
      <c r="K9" s="18" t="s">
        <v>22</v>
      </c>
    </row>
    <row r="10" spans="1:16" ht="22" thickBot="1">
      <c r="B10" s="16" t="s">
        <v>18</v>
      </c>
      <c r="C10" s="13"/>
      <c r="D10" s="13"/>
      <c r="E10" s="13"/>
      <c r="F10" s="13"/>
      <c r="G10" s="16">
        <f>G2/12</f>
        <v>1.575633936609764</v>
      </c>
      <c r="H10" s="12">
        <f>PI()*G10^2/4</f>
        <v>1.949846996554583</v>
      </c>
      <c r="I10" s="14">
        <f>H2</f>
        <v>97.6</v>
      </c>
      <c r="J10" s="80">
        <v>0.47625000000000001</v>
      </c>
      <c r="K10" s="69">
        <f>H10*I10*J10</f>
        <v>90.632788093850124</v>
      </c>
      <c r="L10" s="81" t="s">
        <v>149</v>
      </c>
      <c r="M10" s="11"/>
      <c r="N10" s="44"/>
    </row>
    <row r="11" spans="1:16" ht="22" thickBot="1">
      <c r="B11" s="16" t="s">
        <v>134</v>
      </c>
      <c r="D11" s="71"/>
      <c r="E11" s="11"/>
      <c r="F11" s="11"/>
      <c r="G11" s="11"/>
      <c r="H11" s="11"/>
      <c r="I11" s="11"/>
      <c r="J11" s="44"/>
      <c r="K11" s="62">
        <f>K10*(1+N36)</f>
        <v>107.98305290591701</v>
      </c>
      <c r="L11" s="63" t="s">
        <v>130</v>
      </c>
      <c r="M11" s="21">
        <f>Coeff_1!AX2</f>
        <v>0.60000000000000009</v>
      </c>
      <c r="N11" s="21">
        <f>M11*62.4</f>
        <v>37.440000000000005</v>
      </c>
      <c r="O11" s="22" t="s">
        <v>132</v>
      </c>
    </row>
    <row r="12" spans="1:16" ht="20" thickBot="1">
      <c r="L12" s="64" t="s">
        <v>131</v>
      </c>
      <c r="M12" s="21">
        <f>Coeff_1!AZ2</f>
        <v>0.56000000000000005</v>
      </c>
      <c r="N12" s="20">
        <f>M12*62.4</f>
        <v>34.944000000000003</v>
      </c>
      <c r="O12" s="19" t="s">
        <v>133</v>
      </c>
    </row>
    <row r="13" spans="1:16" ht="17" thickBot="1"/>
    <row r="14" spans="1:16" ht="17" thickBot="1">
      <c r="L14" s="43" t="s">
        <v>137</v>
      </c>
      <c r="M14" s="46"/>
      <c r="N14" s="47"/>
    </row>
    <row r="15" spans="1:16" ht="17" thickBot="1">
      <c r="L15" s="23" t="s">
        <v>34</v>
      </c>
      <c r="M15" s="24" t="s">
        <v>28</v>
      </c>
      <c r="N15" s="25" t="s">
        <v>29</v>
      </c>
    </row>
    <row r="16" spans="1:16">
      <c r="L16" s="26">
        <f>I2</f>
        <v>63.503015728859687</v>
      </c>
      <c r="M16" s="27">
        <f>N11</f>
        <v>37.440000000000005</v>
      </c>
      <c r="N16" s="28">
        <f>L16*M16</f>
        <v>2377.5529088885069</v>
      </c>
    </row>
    <row r="17" spans="12:14">
      <c r="L17" s="29"/>
      <c r="M17" s="30"/>
      <c r="N17" s="31"/>
    </row>
    <row r="18" spans="12:14" ht="17" thickBot="1">
      <c r="L18" s="34"/>
      <c r="M18" s="35"/>
      <c r="N18" s="36"/>
    </row>
    <row r="19" spans="12:14" ht="17" thickBot="1">
      <c r="L19" s="23" t="s">
        <v>16</v>
      </c>
      <c r="M19" s="24" t="s">
        <v>30</v>
      </c>
      <c r="N19" s="25" t="s">
        <v>31</v>
      </c>
    </row>
    <row r="20" spans="12:14">
      <c r="L20" s="37">
        <f>K4</f>
        <v>10.160482516617551</v>
      </c>
      <c r="M20" s="27">
        <f>N12</f>
        <v>34.944000000000003</v>
      </c>
      <c r="N20" s="38">
        <f>L20*M20</f>
        <v>355.04790106068373</v>
      </c>
    </row>
    <row r="21" spans="12:14" ht="17" thickBot="1">
      <c r="L21" s="34"/>
      <c r="M21" s="35"/>
      <c r="N21" s="36"/>
    </row>
    <row r="22" spans="12:14" ht="17" thickBot="1">
      <c r="L22" s="23" t="s">
        <v>27</v>
      </c>
      <c r="M22" s="24"/>
      <c r="N22" s="49">
        <f>N16+N20</f>
        <v>2732.6008099491905</v>
      </c>
    </row>
    <row r="23" spans="12:14" ht="17" thickBot="1">
      <c r="L23" s="39"/>
      <c r="M23" s="40"/>
      <c r="N23" s="41"/>
    </row>
    <row r="24" spans="12:14" ht="17" thickBot="1">
      <c r="L24" s="23" t="s">
        <v>17</v>
      </c>
      <c r="M24" s="24" t="s">
        <v>127</v>
      </c>
      <c r="N24" s="25" t="s">
        <v>32</v>
      </c>
    </row>
    <row r="25" spans="12:14">
      <c r="L25" s="37">
        <f>K6</f>
        <v>3.6248928213159308</v>
      </c>
      <c r="M25" s="27">
        <f>(Coeff_2!U2+Coeff_2!V2)/Coeff_2!T2</f>
        <v>37.136865819777867</v>
      </c>
      <c r="N25" s="38">
        <f>N2</f>
        <v>128.16255090179018</v>
      </c>
    </row>
    <row r="26" spans="12:14" ht="17" thickBot="1">
      <c r="L26" s="34"/>
      <c r="M26" s="35"/>
      <c r="N26" s="36"/>
    </row>
    <row r="27" spans="12:14" ht="17" thickBot="1">
      <c r="L27" s="23" t="s">
        <v>33</v>
      </c>
      <c r="M27" s="24"/>
      <c r="N27" s="48">
        <f>N22+N25</f>
        <v>2860.7633608509809</v>
      </c>
    </row>
    <row r="28" spans="12:14" ht="17" thickBot="1">
      <c r="L28" s="42"/>
      <c r="M28" s="27"/>
      <c r="N28" s="28"/>
    </row>
    <row r="29" spans="12:14" ht="17" thickBot="1">
      <c r="L29" s="23" t="s">
        <v>123</v>
      </c>
      <c r="M29" s="33"/>
      <c r="N29" s="51">
        <f>O6</f>
        <v>69.656508054977877</v>
      </c>
    </row>
    <row r="30" spans="12:14">
      <c r="L30" s="29"/>
      <c r="M30" s="30"/>
      <c r="N30" s="31"/>
    </row>
    <row r="31" spans="12:14">
      <c r="L31" s="52" t="s">
        <v>124</v>
      </c>
      <c r="M31" s="30"/>
      <c r="N31" s="51">
        <f>M2</f>
        <v>547.6495087409869</v>
      </c>
    </row>
    <row r="32" spans="12:14">
      <c r="L32" s="32"/>
      <c r="M32" s="30"/>
      <c r="N32" s="31"/>
    </row>
    <row r="33" spans="2:15">
      <c r="L33" s="29"/>
      <c r="M33" s="30"/>
      <c r="N33" s="31"/>
    </row>
    <row r="34" spans="2:15" ht="17" thickBot="1">
      <c r="L34" s="53" t="s">
        <v>148</v>
      </c>
      <c r="M34" s="54"/>
      <c r="N34" s="55">
        <f>N27+N29+N31</f>
        <v>3478.0693776469461</v>
      </c>
    </row>
    <row r="35" spans="2:15" ht="17" thickBot="1">
      <c r="L35" s="57" t="s">
        <v>125</v>
      </c>
      <c r="M35" s="56"/>
      <c r="N35" s="58">
        <f>N31/N34</f>
        <v>0.15745790243882191</v>
      </c>
    </row>
    <row r="36" spans="2:15" ht="20" thickBot="1">
      <c r="L36" s="57" t="s">
        <v>126</v>
      </c>
      <c r="M36" s="15"/>
      <c r="N36" s="63">
        <f>N31/(N27)</f>
        <v>0.19143474648601469</v>
      </c>
    </row>
    <row r="37" spans="2:15" ht="27" thickBot="1">
      <c r="K37" s="76" t="s">
        <v>138</v>
      </c>
      <c r="L37" s="77">
        <f>L16+L20+L25</f>
        <v>77.288391066793167</v>
      </c>
    </row>
    <row r="38" spans="2:15" ht="27" thickBot="1">
      <c r="K38" s="76" t="s">
        <v>139</v>
      </c>
      <c r="L38" s="78">
        <f>L37*(1+N36)</f>
        <v>92.084074616976679</v>
      </c>
      <c r="M38" s="75" t="s">
        <v>140</v>
      </c>
      <c r="N38" s="44"/>
    </row>
    <row r="40" spans="2:15" ht="17" thickBot="1"/>
    <row r="41" spans="2:15" ht="17" thickBot="1">
      <c r="B41" s="43" t="s">
        <v>135</v>
      </c>
      <c r="C41" s="11"/>
      <c r="D41" s="11"/>
      <c r="E41" s="11"/>
      <c r="F41" s="44"/>
      <c r="G41" s="23" t="s">
        <v>119</v>
      </c>
      <c r="H41" s="24" t="s">
        <v>120</v>
      </c>
      <c r="I41" s="24" t="s">
        <v>23</v>
      </c>
      <c r="J41" s="24" t="s">
        <v>24</v>
      </c>
      <c r="K41" s="25" t="s">
        <v>25</v>
      </c>
    </row>
    <row r="42" spans="2:15" ht="17" thickBot="1">
      <c r="G42" s="65"/>
      <c r="H42" s="66">
        <f>G42/PI()/2</f>
        <v>0</v>
      </c>
      <c r="I42" s="67"/>
      <c r="J42" s="66">
        <f>I42/PI()/2</f>
        <v>0</v>
      </c>
      <c r="K42" s="68">
        <f>PI()*0.333*1*(H42^2+H42*J42+J42^2)</f>
        <v>0</v>
      </c>
      <c r="L42" s="43" t="s">
        <v>117</v>
      </c>
      <c r="M42" s="11"/>
      <c r="N42" s="11"/>
      <c r="O42" s="44"/>
    </row>
  </sheetData>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68E42-D830-BB4E-B423-6A48BF350B46}">
  <dimension ref="A1:BL6"/>
  <sheetViews>
    <sheetView topLeftCell="AM1" workbookViewId="0">
      <selection activeCell="BF2" sqref="BF2"/>
    </sheetView>
  </sheetViews>
  <sheetFormatPr baseColWidth="10" defaultRowHeight="16"/>
  <cols>
    <col min="1" max="5" width="8.6640625" customWidth="1"/>
    <col min="6" max="7" width="3.6640625" customWidth="1"/>
    <col min="8" max="10" width="3.1640625" customWidth="1"/>
    <col min="11" max="11" width="5.6640625" customWidth="1"/>
    <col min="12" max="37" width="3.1640625" customWidth="1"/>
    <col min="38" max="65" width="36.6640625" customWidth="1"/>
  </cols>
  <sheetData>
    <row r="1" spans="1:64" s="4" customFormat="1" ht="12.75" customHeight="1">
      <c r="A1" s="5" t="s">
        <v>35</v>
      </c>
      <c r="B1" s="5" t="s">
        <v>36</v>
      </c>
      <c r="C1" s="5" t="s">
        <v>37</v>
      </c>
      <c r="D1" s="5" t="s">
        <v>38</v>
      </c>
      <c r="E1" s="5" t="s">
        <v>39</v>
      </c>
      <c r="F1" s="5" t="s">
        <v>40</v>
      </c>
      <c r="G1" s="5" t="s">
        <v>41</v>
      </c>
      <c r="H1" s="5" t="s">
        <v>42</v>
      </c>
      <c r="I1" s="5" t="s">
        <v>43</v>
      </c>
      <c r="J1" s="5" t="s">
        <v>44</v>
      </c>
      <c r="K1" s="5" t="s">
        <v>45</v>
      </c>
      <c r="L1" s="5" t="s">
        <v>46</v>
      </c>
      <c r="M1" s="5" t="s">
        <v>47</v>
      </c>
      <c r="N1" s="5" t="s">
        <v>48</v>
      </c>
      <c r="O1" s="5" t="s">
        <v>49</v>
      </c>
      <c r="P1" s="5" t="s">
        <v>50</v>
      </c>
      <c r="Q1" s="5" t="s">
        <v>51</v>
      </c>
      <c r="R1" s="5" t="s">
        <v>52</v>
      </c>
      <c r="S1" s="5" t="s">
        <v>53</v>
      </c>
      <c r="T1" s="5" t="s">
        <v>54</v>
      </c>
      <c r="U1" s="5" t="s">
        <v>55</v>
      </c>
      <c r="V1" s="5" t="s">
        <v>56</v>
      </c>
      <c r="W1" s="5" t="s">
        <v>57</v>
      </c>
      <c r="X1" s="5" t="s">
        <v>58</v>
      </c>
      <c r="Y1" s="5" t="s">
        <v>59</v>
      </c>
      <c r="Z1" s="5" t="s">
        <v>60</v>
      </c>
      <c r="AA1" s="5" t="s">
        <v>61</v>
      </c>
      <c r="AB1" s="5" t="s">
        <v>62</v>
      </c>
      <c r="AC1" s="5" t="s">
        <v>63</v>
      </c>
      <c r="AD1" s="5" t="s">
        <v>64</v>
      </c>
      <c r="AE1" s="5" t="s">
        <v>65</v>
      </c>
      <c r="AF1" s="5" t="s">
        <v>66</v>
      </c>
      <c r="AG1" s="5" t="s">
        <v>67</v>
      </c>
      <c r="AH1" s="5" t="s">
        <v>68</v>
      </c>
      <c r="AI1" s="5" t="s">
        <v>69</v>
      </c>
      <c r="AJ1" s="5" t="s">
        <v>70</v>
      </c>
      <c r="AK1" s="5" t="s">
        <v>71</v>
      </c>
      <c r="AL1" s="5" t="s">
        <v>72</v>
      </c>
      <c r="AM1" s="5" t="s">
        <v>73</v>
      </c>
      <c r="AN1" s="5" t="s">
        <v>74</v>
      </c>
      <c r="AO1" s="5" t="s">
        <v>75</v>
      </c>
      <c r="AP1" s="5" t="s">
        <v>76</v>
      </c>
      <c r="AQ1" s="5" t="s">
        <v>77</v>
      </c>
      <c r="AR1" s="5" t="s">
        <v>78</v>
      </c>
      <c r="AS1" s="5" t="s">
        <v>79</v>
      </c>
      <c r="AT1" s="5" t="s">
        <v>80</v>
      </c>
      <c r="AU1" s="5" t="s">
        <v>81</v>
      </c>
      <c r="AV1" s="5" t="s">
        <v>82</v>
      </c>
      <c r="AW1" s="5" t="s">
        <v>83</v>
      </c>
      <c r="AX1" s="5" t="s">
        <v>84</v>
      </c>
      <c r="AY1" s="5" t="s">
        <v>85</v>
      </c>
      <c r="AZ1" s="5" t="s">
        <v>86</v>
      </c>
      <c r="BA1" s="5" t="s">
        <v>87</v>
      </c>
      <c r="BB1" s="5" t="s">
        <v>88</v>
      </c>
      <c r="BC1" s="5" t="s">
        <v>89</v>
      </c>
      <c r="BD1" s="5" t="s">
        <v>90</v>
      </c>
      <c r="BE1" s="5" t="s">
        <v>91</v>
      </c>
      <c r="BF1" s="5" t="s">
        <v>92</v>
      </c>
      <c r="BG1" s="5" t="s">
        <v>93</v>
      </c>
      <c r="BH1" s="5" t="s">
        <v>94</v>
      </c>
      <c r="BI1" s="5" t="s">
        <v>95</v>
      </c>
      <c r="BJ1" s="5" t="s">
        <v>96</v>
      </c>
      <c r="BK1" s="5" t="s">
        <v>97</v>
      </c>
      <c r="BL1" s="5" t="s">
        <v>98</v>
      </c>
    </row>
    <row r="2" spans="1:64" s="4" customFormat="1" ht="12.75" customHeight="1">
      <c r="A2" s="119" t="s">
        <v>181</v>
      </c>
      <c r="B2" s="119">
        <v>802</v>
      </c>
      <c r="C2" s="120" t="s">
        <v>182</v>
      </c>
      <c r="D2" s="120" t="s">
        <v>183</v>
      </c>
      <c r="E2" s="120" t="s">
        <v>184</v>
      </c>
      <c r="F2" s="120"/>
      <c r="G2" s="120"/>
      <c r="H2" s="120" t="s">
        <v>185</v>
      </c>
      <c r="I2" s="119">
        <v>25</v>
      </c>
      <c r="J2" s="119">
        <v>25</v>
      </c>
      <c r="K2" s="119">
        <v>4</v>
      </c>
      <c r="L2" s="119">
        <v>29</v>
      </c>
      <c r="M2" s="119">
        <v>81</v>
      </c>
      <c r="N2" s="120" t="s">
        <v>0</v>
      </c>
      <c r="O2" s="120" t="s">
        <v>0</v>
      </c>
      <c r="P2" s="120"/>
      <c r="Q2" s="121"/>
      <c r="R2" s="121" t="s">
        <v>0</v>
      </c>
      <c r="S2" s="121" t="s">
        <v>0</v>
      </c>
      <c r="T2" s="121" t="s">
        <v>186</v>
      </c>
      <c r="U2" s="121" t="s">
        <v>0</v>
      </c>
      <c r="V2" s="121" t="s">
        <v>0</v>
      </c>
      <c r="W2" s="121"/>
      <c r="X2" s="121"/>
      <c r="Y2" s="121" t="s">
        <v>0</v>
      </c>
      <c r="Z2" s="121" t="s">
        <v>1</v>
      </c>
      <c r="AA2" s="121"/>
      <c r="AB2" s="121"/>
      <c r="AC2" s="122">
        <v>1.7</v>
      </c>
      <c r="AD2" s="122"/>
      <c r="AE2" s="121" t="s">
        <v>2</v>
      </c>
      <c r="AF2" s="123">
        <v>38407.402997685182</v>
      </c>
      <c r="AG2" s="121" t="s">
        <v>3</v>
      </c>
      <c r="AH2" s="121" t="s">
        <v>4</v>
      </c>
      <c r="AI2" s="123">
        <v>39526.714432870373</v>
      </c>
      <c r="AJ2" s="121" t="s">
        <v>3</v>
      </c>
      <c r="AK2" s="121" t="s">
        <v>187</v>
      </c>
      <c r="AL2" s="124">
        <v>9</v>
      </c>
      <c r="AM2" s="125">
        <v>-2.0127000000000002</v>
      </c>
      <c r="AN2" s="125">
        <v>2.4342000000000001</v>
      </c>
      <c r="AO2" s="125">
        <v>-0.30649999999999999</v>
      </c>
      <c r="AP2" s="125">
        <v>-5.4240000000000004</v>
      </c>
      <c r="AQ2" s="125">
        <v>-2.0129000000000001</v>
      </c>
      <c r="AR2" s="125">
        <v>-1.6805000000000001</v>
      </c>
      <c r="AS2" s="125">
        <v>-4.0812999999999997</v>
      </c>
      <c r="AT2" s="125">
        <v>5.8815999999999997</v>
      </c>
      <c r="AU2" s="125">
        <v>-1.6911</v>
      </c>
      <c r="AV2" s="125">
        <v>0.81600000000000006</v>
      </c>
      <c r="AW2" s="125">
        <v>0.76989000000000007</v>
      </c>
      <c r="AX2" s="125">
        <v>0.60000000000000009</v>
      </c>
      <c r="AY2" s="124">
        <v>1</v>
      </c>
      <c r="AZ2" s="125">
        <v>0.56000000000000005</v>
      </c>
      <c r="BA2" s="124">
        <v>5</v>
      </c>
      <c r="BB2" s="125">
        <v>68.266670000000005</v>
      </c>
      <c r="BC2" s="124">
        <v>5</v>
      </c>
      <c r="BD2" s="125">
        <v>88.875</v>
      </c>
      <c r="BE2" s="124">
        <v>17</v>
      </c>
      <c r="BF2" s="125">
        <v>0.68</v>
      </c>
      <c r="BG2" s="124">
        <v>1</v>
      </c>
      <c r="BH2" s="125">
        <v>16</v>
      </c>
      <c r="BI2" s="124">
        <v>36</v>
      </c>
      <c r="BJ2" s="125">
        <v>0.12798000000000001</v>
      </c>
      <c r="BK2" s="125">
        <v>0.9226700000000001</v>
      </c>
      <c r="BL2" s="125">
        <v>0.12506</v>
      </c>
    </row>
    <row r="5" spans="1:64">
      <c r="A5" s="1"/>
      <c r="B5" s="1"/>
      <c r="C5" s="1"/>
      <c r="D5" s="1"/>
    </row>
    <row r="6" spans="1:64" ht="19">
      <c r="B6" s="13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CA873-7F79-594F-A084-8266B6F90DE6}">
  <dimension ref="A1:Y42"/>
  <sheetViews>
    <sheetView topLeftCell="J1" workbookViewId="0">
      <selection activeCell="P2" sqref="P2"/>
    </sheetView>
  </sheetViews>
  <sheetFormatPr baseColWidth="10" defaultRowHeight="16"/>
  <cols>
    <col min="1" max="10" width="26.1640625" customWidth="1"/>
    <col min="11" max="11" width="30.5" customWidth="1"/>
    <col min="12" max="25" width="26.1640625" customWidth="1"/>
  </cols>
  <sheetData>
    <row r="1" spans="1:25" s="10" customFormat="1" ht="12.75" customHeight="1">
      <c r="A1" s="6" t="s">
        <v>36</v>
      </c>
      <c r="B1" s="6" t="s">
        <v>37</v>
      </c>
      <c r="C1" s="6" t="s">
        <v>38</v>
      </c>
      <c r="D1" s="6" t="s">
        <v>39</v>
      </c>
      <c r="E1" s="6" t="s">
        <v>40</v>
      </c>
      <c r="F1" s="6" t="s">
        <v>41</v>
      </c>
      <c r="G1" s="7"/>
      <c r="H1" s="7" t="s">
        <v>99</v>
      </c>
      <c r="I1" s="8" t="s">
        <v>100</v>
      </c>
      <c r="J1" s="8" t="s">
        <v>101</v>
      </c>
      <c r="K1" s="8" t="s">
        <v>102</v>
      </c>
      <c r="L1" s="7" t="s">
        <v>103</v>
      </c>
      <c r="M1" s="9" t="s">
        <v>104</v>
      </c>
      <c r="N1" s="7" t="s">
        <v>105</v>
      </c>
      <c r="O1" s="7" t="s">
        <v>106</v>
      </c>
      <c r="P1" s="7" t="s">
        <v>107</v>
      </c>
      <c r="Q1" s="7" t="s">
        <v>108</v>
      </c>
      <c r="R1" s="7" t="s">
        <v>109</v>
      </c>
      <c r="S1" s="7" t="s">
        <v>110</v>
      </c>
      <c r="T1" s="7" t="s">
        <v>111</v>
      </c>
      <c r="U1" s="7" t="s">
        <v>112</v>
      </c>
      <c r="V1" s="7" t="s">
        <v>113</v>
      </c>
      <c r="W1" s="7" t="s">
        <v>114</v>
      </c>
      <c r="X1" s="9" t="s">
        <v>115</v>
      </c>
      <c r="Y1" s="8" t="s">
        <v>116</v>
      </c>
    </row>
    <row r="2" spans="1:25" s="149" customFormat="1" ht="24" customHeight="1">
      <c r="A2" s="139">
        <v>802</v>
      </c>
      <c r="B2" s="140" t="s">
        <v>182</v>
      </c>
      <c r="C2" s="140" t="s">
        <v>183</v>
      </c>
      <c r="D2" s="140" t="s">
        <v>184</v>
      </c>
      <c r="E2" s="140"/>
      <c r="F2" s="140"/>
      <c r="G2" s="141"/>
      <c r="H2" s="142">
        <v>1.8200000000000002E-3</v>
      </c>
      <c r="I2" s="143">
        <f>EXP(Coeff_1!AO2+(Coeff_1!AP2/(BioMass!G2*2.54)))</f>
        <v>0.65741459407459935</v>
      </c>
      <c r="J2" s="143">
        <f>EXP(Coeff_1!AQ2+(Coeff_1!AR2/(BioMass!G2*2.54)))</f>
        <v>0.12900656858299636</v>
      </c>
      <c r="K2" s="143">
        <f>EXP(Coeff_1!AS2+(Coeff_1!AT2/(BioMass!G2*2.54)))</f>
        <v>1.9085406854041365E-2</v>
      </c>
      <c r="L2" s="141">
        <f>EXP(Coeff_1!AU2+(Coeff_1!AV2/(BioMass!G2*2.54)))</f>
        <v>0.18747515226308276</v>
      </c>
      <c r="M2" s="144">
        <f>(EXP(Coeff_1!AM2+(Coeff_1!AN2*(LN(BioMass!G2*2.54)))))*2.2046</f>
        <v>3649.7261278047108</v>
      </c>
      <c r="N2" s="144">
        <f t="shared" ref="N2" si="0">M2*I2</f>
        <v>2399.3832207941932</v>
      </c>
      <c r="O2" s="144">
        <f t="shared" ref="O2" si="1">M2*J2</f>
        <v>470.83864401579217</v>
      </c>
      <c r="P2" s="144">
        <f t="shared" ref="P2" si="2">N2+O2</f>
        <v>2870.2218648099852</v>
      </c>
      <c r="Q2" s="145">
        <f t="shared" ref="Q2" si="3">M2*K2</f>
        <v>69.656508054977877</v>
      </c>
      <c r="R2" s="145">
        <f t="shared" ref="R2" si="4">M2*L2</f>
        <v>684.23296152873957</v>
      </c>
      <c r="S2" s="146">
        <f>0.005454153*(BioMass!G2^2)*((Coeff_1!BK2^2)+(5.62462*Coeff_1!BK2*Coeff_1!BL2)+(8.50038*(Coeff_1!BL2^2)))</f>
        <v>3.1846568782940086</v>
      </c>
      <c r="T2" s="146">
        <f>0.005454153*(BioMass!G2^2)*(1+(5.62462*Coeff_1!BJ2)+(8.50038*(Coeff_1!BJ2^2)))</f>
        <v>3.6248928213159308</v>
      </c>
      <c r="U2" s="146">
        <f>(T2-S2)*62.4*Coeff_1!AZ2</f>
        <v>15.383604792958053</v>
      </c>
      <c r="V2" s="147">
        <f>S2*62.4*Coeff_1!AX2</f>
        <v>119.2335535233277</v>
      </c>
      <c r="W2" s="148">
        <f t="shared" ref="W2" si="5">U2+V2</f>
        <v>134.61715831628575</v>
      </c>
      <c r="X2" s="145">
        <f t="shared" ref="X2" si="6">M2-N2-O2-Q2-W2</f>
        <v>575.23059662346179</v>
      </c>
      <c r="Y2" s="148">
        <f>BioMass!L2/P2</f>
        <v>0.95205211954236668</v>
      </c>
    </row>
    <row r="3" spans="1:25">
      <c r="N3" s="79"/>
    </row>
    <row r="4" spans="1:25" ht="17" thickBot="1">
      <c r="B4" s="2"/>
      <c r="N4" s="79"/>
    </row>
    <row r="5" spans="1:25" ht="17" thickBot="1">
      <c r="Q5" s="59" t="s">
        <v>177</v>
      </c>
      <c r="R5" s="115" t="s">
        <v>178</v>
      </c>
    </row>
    <row r="6" spans="1:25" ht="17" thickBot="1">
      <c r="Q6" s="92" t="s">
        <v>172</v>
      </c>
      <c r="R6" s="111">
        <f>I2</f>
        <v>0.65741459407459935</v>
      </c>
    </row>
    <row r="7" spans="1:25" ht="17" thickBot="1">
      <c r="K7" s="43" t="s">
        <v>142</v>
      </c>
      <c r="L7" s="11"/>
      <c r="M7" s="11"/>
      <c r="N7" s="47">
        <f>EXP(M9+(M10/(M11*2.54)))</f>
        <v>5.4279790436188767E-2</v>
      </c>
      <c r="Q7" s="112" t="s">
        <v>173</v>
      </c>
      <c r="R7" s="113">
        <f>J2</f>
        <v>0.12900656858299636</v>
      </c>
    </row>
    <row r="8" spans="1:25" ht="17" thickBot="1">
      <c r="Q8" s="112" t="s">
        <v>174</v>
      </c>
      <c r="R8" s="113">
        <f>K2</f>
        <v>1.9085406854041365E-2</v>
      </c>
    </row>
    <row r="9" spans="1:25" ht="17" thickBot="1">
      <c r="K9" s="82" t="s">
        <v>79</v>
      </c>
      <c r="L9" s="86" t="s">
        <v>143</v>
      </c>
      <c r="M9" s="83">
        <v>-2.9584000000000001</v>
      </c>
      <c r="Q9" s="98" t="s">
        <v>175</v>
      </c>
      <c r="R9" s="114">
        <f>L2</f>
        <v>0.18747515226308276</v>
      </c>
    </row>
    <row r="10" spans="1:25" ht="17" thickBot="1">
      <c r="K10" s="84" t="s">
        <v>80</v>
      </c>
      <c r="L10" s="87" t="s">
        <v>144</v>
      </c>
      <c r="M10" s="85">
        <v>4.4766000000000004</v>
      </c>
    </row>
    <row r="11" spans="1:25" ht="21" thickBot="1">
      <c r="K11" s="88" t="s">
        <v>14</v>
      </c>
      <c r="L11" s="59" t="s">
        <v>150</v>
      </c>
      <c r="M11" s="60">
        <f>10.3/PI()*12</f>
        <v>39.343101932316529</v>
      </c>
      <c r="Q11" s="59" t="s">
        <v>176</v>
      </c>
      <c r="R11" s="96">
        <f>SUM(R6:R9)</f>
        <v>0.99298172177471977</v>
      </c>
    </row>
    <row r="12" spans="1:25" ht="17" thickBot="1">
      <c r="K12" s="90" t="s">
        <v>146</v>
      </c>
      <c r="L12" s="47"/>
      <c r="M12" s="59" t="s">
        <v>151</v>
      </c>
    </row>
    <row r="13" spans="1:25" ht="17" thickBot="1">
      <c r="K13" s="59" t="s">
        <v>145</v>
      </c>
      <c r="L13" s="89">
        <f>Q2</f>
        <v>69.656508054977877</v>
      </c>
      <c r="Q13" s="79"/>
    </row>
    <row r="23" spans="10:16" ht="17" thickBot="1"/>
    <row r="24" spans="10:16" ht="17" thickBot="1">
      <c r="J24" s="91" t="s">
        <v>104</v>
      </c>
      <c r="K24" s="90" t="s">
        <v>147</v>
      </c>
      <c r="L24" s="46"/>
      <c r="M24" s="47"/>
    </row>
    <row r="25" spans="10:16" ht="17" thickBot="1"/>
    <row r="26" spans="10:16" ht="17" thickBot="1">
      <c r="K26" s="92" t="s">
        <v>152</v>
      </c>
      <c r="L26" s="92" t="s">
        <v>154</v>
      </c>
      <c r="M26" s="15" t="s">
        <v>153</v>
      </c>
      <c r="O26" s="79"/>
    </row>
    <row r="27" spans="10:16" ht="22" thickBot="1">
      <c r="K27" s="93" t="s">
        <v>6</v>
      </c>
      <c r="L27" s="93" t="s">
        <v>5</v>
      </c>
      <c r="M27" s="94">
        <f>BioMass!$G$2</f>
        <v>18.907607239317169</v>
      </c>
      <c r="N27" s="63">
        <f>(EXP(K27+(L27*LN(M27*2.54))))*2.2046</f>
        <v>2169.4254028946361</v>
      </c>
      <c r="O27" s="97" t="s">
        <v>159</v>
      </c>
      <c r="P27" s="47"/>
    </row>
    <row r="28" spans="10:16">
      <c r="N28" s="79"/>
      <c r="O28" s="79"/>
    </row>
    <row r="29" spans="10:16" ht="17" thickBot="1"/>
    <row r="30" spans="10:16" ht="17" thickBot="1">
      <c r="K30" s="59" t="s">
        <v>107</v>
      </c>
      <c r="L30" s="89">
        <f>P2</f>
        <v>2870.2218648099852</v>
      </c>
    </row>
    <row r="31" spans="10:16" ht="17" thickBot="1">
      <c r="K31" s="59" t="s">
        <v>155</v>
      </c>
      <c r="L31" s="95">
        <f>BioMass!L2</f>
        <v>2732.6008099491905</v>
      </c>
      <c r="M31" s="97" t="s">
        <v>160</v>
      </c>
      <c r="N31" s="99"/>
      <c r="O31" s="100"/>
    </row>
    <row r="32" spans="10:16" ht="17" thickBot="1">
      <c r="M32" s="98" t="s">
        <v>157</v>
      </c>
    </row>
    <row r="33" spans="11:14" ht="17" thickBot="1">
      <c r="K33" s="59" t="s">
        <v>156</v>
      </c>
      <c r="L33" s="95">
        <f>W2</f>
        <v>134.61715831628575</v>
      </c>
      <c r="M33" s="96">
        <f>Y2</f>
        <v>0.95205211954236668</v>
      </c>
    </row>
    <row r="34" spans="11:14" ht="17" thickBot="1">
      <c r="K34" s="59" t="s">
        <v>158</v>
      </c>
      <c r="L34" s="95">
        <f>L33*M33</f>
        <v>128.16255090179018</v>
      </c>
    </row>
    <row r="35" spans="11:14" ht="17" thickBot="1">
      <c r="M35" s="105" t="s">
        <v>165</v>
      </c>
    </row>
    <row r="36" spans="11:14" ht="17" thickBot="1">
      <c r="K36" s="101" t="s">
        <v>161</v>
      </c>
      <c r="L36" s="102">
        <f>P2</f>
        <v>2870.2218648099852</v>
      </c>
      <c r="M36" s="89">
        <f>L36</f>
        <v>2870.2218648099852</v>
      </c>
    </row>
    <row r="37" spans="11:14" ht="17" thickBot="1">
      <c r="K37" s="101" t="s">
        <v>162</v>
      </c>
      <c r="L37" s="102">
        <f>Q2</f>
        <v>69.656508054977877</v>
      </c>
      <c r="M37" s="89">
        <f>M36+L37</f>
        <v>2939.8783728649632</v>
      </c>
    </row>
    <row r="38" spans="11:14" ht="17" thickBot="1">
      <c r="K38" s="101" t="s">
        <v>163</v>
      </c>
      <c r="L38" s="102">
        <f>W2</f>
        <v>134.61715831628575</v>
      </c>
      <c r="M38" s="89">
        <f>M37+L38</f>
        <v>3074.4955311812491</v>
      </c>
    </row>
    <row r="39" spans="11:14" ht="17" thickBot="1">
      <c r="K39" s="101" t="s">
        <v>164</v>
      </c>
      <c r="L39" s="102">
        <f>X2</f>
        <v>575.23059662346179</v>
      </c>
      <c r="M39" s="89">
        <f>M38+L39</f>
        <v>3649.7261278047108</v>
      </c>
    </row>
    <row r="40" spans="11:14" ht="17" thickBot="1"/>
    <row r="41" spans="11:14" ht="17" thickBot="1">
      <c r="K41" s="101" t="s">
        <v>166</v>
      </c>
      <c r="M41" s="106">
        <f>BioMass!O2</f>
        <v>3408.412869591968</v>
      </c>
    </row>
    <row r="42" spans="11:14" ht="17" thickBot="1">
      <c r="K42" s="103" t="s">
        <v>167</v>
      </c>
      <c r="L42" s="104"/>
      <c r="M42" s="107">
        <f>M39-M41</f>
        <v>241.31325821274277</v>
      </c>
      <c r="N42" s="59" t="s">
        <v>168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98C29-9FF8-0F4F-B9E5-BBDFCEE104AC}">
  <dimension ref="A1"/>
  <sheetViews>
    <sheetView workbookViewId="0">
      <selection activeCell="H43" sqref="H43"/>
    </sheetView>
  </sheetViews>
  <sheetFormatPr baseColWidth="10" defaultRowHeight="16"/>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BioMass</vt:lpstr>
      <vt:lpstr>Coeff_1</vt:lpstr>
      <vt:lpstr>Coeff_2</vt:lpstr>
      <vt:lpstr>FF Determination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2019-08-27T23:46:44Z</dcterms:created>
  <dcterms:modified xsi:type="dcterms:W3CDTF">2019-12-29T18:27:23Z</dcterms:modified>
</cp:coreProperties>
</file>