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G:\.shortcut-targets-by-id\1xOVBCH4xz1QIg6PK9r6fo7gK8Kj7Y40l\GWSA-Carbon_Budget\data\"/>
    </mc:Choice>
  </mc:AlternateContent>
  <xr:revisionPtr revIDLastSave="0" documentId="13_ncr:1_{4D5A94E0-AD33-43E4-BC58-8ECD2DC835E9}" xr6:coauthVersionLast="46" xr6:coauthVersionMax="46" xr10:uidLastSave="{00000000-0000-0000-0000-000000000000}"/>
  <bookViews>
    <workbookView xWindow="1035" yWindow="375" windowWidth="27360" windowHeight="15045" activeTab="2" xr2:uid="{00000000-000D-0000-FFFF-FFFF00000000}"/>
  </bookViews>
  <sheets>
    <sheet name="Carbon Storage" sheetId="2" r:id="rId1"/>
    <sheet name="Carbon fluxes" sheetId="1" r:id="rId2"/>
    <sheet name="Wetlands and Water bodies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9" i="3" l="1"/>
  <c r="G7" i="2"/>
  <c r="G3" i="2"/>
  <c r="G4" i="2" s="1"/>
  <c r="G5" i="2" s="1"/>
  <c r="G6" i="2" s="1"/>
  <c r="G2" i="2"/>
  <c r="F5" i="2"/>
  <c r="C4" i="2"/>
  <c r="F4" i="2"/>
  <c r="F3" i="2"/>
  <c r="F6" i="2" s="1"/>
  <c r="F7" i="2"/>
  <c r="F2" i="2"/>
  <c r="J4" i="3"/>
  <c r="J11" i="3"/>
  <c r="Q34" i="3"/>
  <c r="Q31" i="3"/>
  <c r="Q32" i="3" s="1"/>
  <c r="Q33" i="3" s="1"/>
  <c r="Q6" i="3"/>
  <c r="Q7" i="3" s="1"/>
  <c r="Q8" i="3" s="1"/>
  <c r="Q9" i="3" s="1"/>
  <c r="Q10" i="3" s="1"/>
  <c r="Q11" i="3" s="1"/>
  <c r="Q12" i="3" s="1"/>
  <c r="Q13" i="3" s="1"/>
  <c r="Q14" i="3" s="1"/>
  <c r="Q15" i="3" s="1"/>
  <c r="Q16" i="3" s="1"/>
  <c r="Q17" i="3" s="1"/>
  <c r="Q18" i="3" s="1"/>
  <c r="Q19" i="3" s="1"/>
  <c r="Q20" i="3" s="1"/>
  <c r="Q21" i="3" s="1"/>
  <c r="Q22" i="3" s="1"/>
  <c r="Q23" i="3" s="1"/>
  <c r="Q24" i="3" s="1"/>
  <c r="Q25" i="3" s="1"/>
  <c r="Q26" i="3" s="1"/>
  <c r="Q27" i="3" s="1"/>
  <c r="Q28" i="3" s="1"/>
  <c r="Q29" i="3" s="1"/>
  <c r="Q30" i="3" s="1"/>
  <c r="Q5" i="3"/>
  <c r="E12" i="3"/>
  <c r="F12" i="3"/>
  <c r="J2" i="3"/>
  <c r="J5" i="3"/>
  <c r="J6" i="3"/>
  <c r="J7" i="3"/>
  <c r="J8" i="3"/>
  <c r="J9" i="3"/>
  <c r="J10" i="3"/>
  <c r="H21" i="3"/>
  <c r="H20" i="3"/>
  <c r="H19" i="3"/>
  <c r="H18" i="3"/>
  <c r="H17" i="3"/>
  <c r="H16" i="3"/>
  <c r="H15" i="3"/>
  <c r="M3" i="3"/>
  <c r="M4" i="3" s="1"/>
  <c r="G8" i="2" l="1"/>
  <c r="G9" i="2" s="1"/>
  <c r="G10" i="2" s="1"/>
  <c r="F8" i="2"/>
  <c r="F9" i="2" s="1"/>
  <c r="F10" i="2" s="1"/>
  <c r="G5" i="3"/>
  <c r="H5" i="3" s="1"/>
  <c r="G6" i="3"/>
  <c r="G7" i="3"/>
  <c r="H7" i="3" s="1"/>
  <c r="G8" i="3"/>
  <c r="G9" i="3"/>
  <c r="G10" i="3"/>
  <c r="H10" i="3" s="1"/>
  <c r="G11" i="3"/>
  <c r="G4" i="3"/>
  <c r="C6" i="2"/>
  <c r="C5" i="2"/>
  <c r="H9" i="3" l="1"/>
  <c r="H8" i="3"/>
  <c r="H4" i="3"/>
  <c r="K4" i="3" s="1"/>
  <c r="H11" i="3"/>
  <c r="H6" i="3"/>
  <c r="K6" i="3" s="1"/>
  <c r="K5" i="3"/>
  <c r="K7" i="3"/>
  <c r="K8" i="3"/>
  <c r="K9" i="3"/>
  <c r="K10" i="3"/>
  <c r="E32" i="1"/>
  <c r="E26" i="1"/>
  <c r="E27" i="1" s="1"/>
  <c r="E30" i="1" s="1"/>
  <c r="E23" i="1"/>
  <c r="C7" i="2" l="1"/>
  <c r="C8" i="2" s="1"/>
  <c r="C9" i="2" s="1"/>
  <c r="C10" i="2" s="1"/>
  <c r="K11" i="3"/>
  <c r="D22" i="1"/>
  <c r="D21" i="1"/>
  <c r="D20" i="1"/>
  <c r="E29" i="1"/>
  <c r="D4" i="1"/>
  <c r="D2" i="1"/>
  <c r="D19" i="1" s="1"/>
  <c r="E19" i="1" s="1"/>
  <c r="D8" i="1"/>
  <c r="D13" i="1" l="1"/>
  <c r="E13" i="1" s="1"/>
  <c r="D7" i="1"/>
  <c r="E9" i="1" s="1"/>
  <c r="D5" i="1"/>
  <c r="E6" i="1" s="1"/>
  <c r="D14" i="1"/>
  <c r="E14" i="1" s="1"/>
  <c r="D10" i="1"/>
  <c r="E10" i="1" s="1"/>
  <c r="D12" i="1"/>
  <c r="E12" i="1" s="1"/>
  <c r="C11" i="1" l="1"/>
  <c r="D11" i="1" s="1"/>
  <c r="E11" i="1" s="1"/>
  <c r="C18" i="1"/>
  <c r="D18" i="1" s="1"/>
  <c r="E18" i="1" s="1"/>
  <c r="B38" i="1"/>
  <c r="B37" i="1"/>
  <c r="B39" i="1" s="1"/>
  <c r="C16" i="1" s="1"/>
  <c r="D16" i="1" s="1"/>
  <c r="B34" i="1"/>
  <c r="B36" i="1" s="1"/>
  <c r="C15" i="1" s="1"/>
  <c r="D15" i="1" s="1"/>
  <c r="E17" i="1" s="1"/>
  <c r="B35" i="1"/>
  <c r="E25" i="1" l="1"/>
  <c r="E24" i="1"/>
</calcChain>
</file>

<file path=xl/sharedStrings.xml><?xml version="1.0" encoding="utf-8"?>
<sst xmlns="http://schemas.openxmlformats.org/spreadsheetml/2006/main" count="147" uniqueCount="96">
  <si>
    <t>Source</t>
  </si>
  <si>
    <t>Flux rate</t>
  </si>
  <si>
    <t>Notes</t>
  </si>
  <si>
    <t>g C m-2 yr-1</t>
  </si>
  <si>
    <t>Approach</t>
  </si>
  <si>
    <t>Knox et al. 2014</t>
  </si>
  <si>
    <t>Flux measurement with eddy covariance</t>
  </si>
  <si>
    <t>Drained agricultural peatland</t>
  </si>
  <si>
    <t>CH4, C or CO2</t>
  </si>
  <si>
    <t xml:space="preserve">CH4 </t>
  </si>
  <si>
    <t>CO2</t>
  </si>
  <si>
    <t>Restored wetlands from agricultural use; flooding inhibited respiration so they were net carbon sink</t>
  </si>
  <si>
    <t>CH4</t>
  </si>
  <si>
    <t>Gorham 1991</t>
  </si>
  <si>
    <t>Net rate with CO2 and CH4 in North American peatlands</t>
  </si>
  <si>
    <t>CO2 and CH4</t>
  </si>
  <si>
    <t>Mitra et al. 2005</t>
  </si>
  <si>
    <t>General range for wetlands</t>
  </si>
  <si>
    <t>Mitsch et al. 2012</t>
  </si>
  <si>
    <t>Measured fluxes and carbon storage; net exchange modeled</t>
  </si>
  <si>
    <t>Temperate flow-through wetlands, Ohio</t>
  </si>
  <si>
    <t>Created temperate marshes (10-years), Ohio</t>
  </si>
  <si>
    <t>Created temperate marshes (15-years), Ohio</t>
  </si>
  <si>
    <t>Peacock et al. 2021</t>
  </si>
  <si>
    <t>Artificial ponds and ditches</t>
  </si>
  <si>
    <t>Bernal and Mitsch 2011</t>
  </si>
  <si>
    <t>Carbon sequestration rates</t>
  </si>
  <si>
    <t>Wetland communities</t>
  </si>
  <si>
    <t>Riverine communities</t>
  </si>
  <si>
    <t>219-267</t>
  </si>
  <si>
    <t>124-160</t>
  </si>
  <si>
    <t>181-193</t>
  </si>
  <si>
    <r>
      <t> 0.1–44.3 g CH</t>
    </r>
    <r>
      <rPr>
        <sz val="9"/>
        <color rgb="FF1C1D1E"/>
        <rFont val="Open Sans"/>
        <family val="2"/>
      </rPr>
      <t>4</t>
    </r>
    <r>
      <rPr>
        <sz val="12"/>
        <color rgb="FF1C1D1E"/>
        <rFont val="Open Sans"/>
        <family val="2"/>
      </rPr>
      <t> m</t>
    </r>
    <r>
      <rPr>
        <sz val="9"/>
        <color rgb="FF1C1D1E"/>
        <rFont val="Open Sans"/>
        <family val="2"/>
      </rPr>
      <t>−2</t>
    </r>
    <r>
      <rPr>
        <sz val="12"/>
        <color rgb="FF1C1D1E"/>
        <rFont val="Open Sans"/>
        <family val="2"/>
      </rPr>
      <t> year</t>
    </r>
    <r>
      <rPr>
        <sz val="9"/>
        <color rgb="FF1C1D1E"/>
        <rFont val="Open Sans"/>
        <family val="2"/>
      </rPr>
      <t>−1</t>
    </r>
    <r>
      <rPr>
        <sz val="12"/>
        <color rgb="FF1C1D1E"/>
        <rFont val="Open Sans"/>
        <family val="2"/>
      </rPr>
      <t> and −36–4421 g CO</t>
    </r>
    <r>
      <rPr>
        <sz val="9"/>
        <color rgb="FF1C1D1E"/>
        <rFont val="Open Sans"/>
        <family val="2"/>
      </rPr>
      <t>2</t>
    </r>
    <r>
      <rPr>
        <sz val="12"/>
        <color rgb="FF1C1D1E"/>
        <rFont val="Open Sans"/>
        <family val="2"/>
      </rPr>
      <t> m</t>
    </r>
    <r>
      <rPr>
        <sz val="9"/>
        <color rgb="FF1C1D1E"/>
        <rFont val="Open Sans"/>
        <family val="2"/>
      </rPr>
      <t>−2</t>
    </r>
    <r>
      <rPr>
        <sz val="12"/>
        <color rgb="FF1C1D1E"/>
        <rFont val="Open Sans"/>
        <family val="2"/>
      </rPr>
      <t> year</t>
    </r>
    <r>
      <rPr>
        <sz val="9"/>
        <color rgb="FF1C1D1E"/>
        <rFont val="Open Sans"/>
        <family val="2"/>
      </rPr>
      <t>−1</t>
    </r>
    <r>
      <rPr>
        <sz val="12"/>
        <color rgb="FF1C1D1E"/>
        <rFont val="Open Sans"/>
        <family val="2"/>
      </rPr>
      <t>. </t>
    </r>
  </si>
  <si>
    <t>Measured fluxes with floating chamber</t>
  </si>
  <si>
    <t>Notes on Peacock et al. 2021</t>
  </si>
  <si>
    <t>Reported values</t>
  </si>
  <si>
    <t>g C m-2 yr-1 for CH4</t>
  </si>
  <si>
    <t>Units conversion via molecular weight from CH4 to C</t>
  </si>
  <si>
    <t xml:space="preserve">low </t>
  </si>
  <si>
    <t>high</t>
  </si>
  <si>
    <t>Units conversion via molecular weight from C)2 to C</t>
  </si>
  <si>
    <t>g C m-2 yr-1 for CO2</t>
  </si>
  <si>
    <t>geometric mean</t>
  </si>
  <si>
    <t>GEOMETRIC MEAN</t>
  </si>
  <si>
    <t>MEAN</t>
  </si>
  <si>
    <t>MEDIAN</t>
  </si>
  <si>
    <t>Value</t>
  </si>
  <si>
    <t>Nahlik and Fennessy 2016</t>
  </si>
  <si>
    <t>Units</t>
  </si>
  <si>
    <t>Description</t>
  </si>
  <si>
    <t>VT ANR</t>
  </si>
  <si>
    <t>ha</t>
  </si>
  <si>
    <t>Carbon stock in VT wetlands</t>
  </si>
  <si>
    <t>Wetland area in VT</t>
  </si>
  <si>
    <t>metric tons C/ha</t>
  </si>
  <si>
    <t xml:space="preserve">metric tons C </t>
  </si>
  <si>
    <t>g CO2-e m-2 yr-1</t>
  </si>
  <si>
    <t>ESTIMATE</t>
  </si>
  <si>
    <t>metric tons</t>
  </si>
  <si>
    <t>ha wetlands</t>
  </si>
  <si>
    <t>m2 wetlands</t>
  </si>
  <si>
    <t>MMt CO2e/year</t>
  </si>
  <si>
    <t>MMT CO2e/m2/year</t>
  </si>
  <si>
    <t>FLUX</t>
  </si>
  <si>
    <t>STOCK</t>
  </si>
  <si>
    <t>metric tons C</t>
  </si>
  <si>
    <t>MMT CO2e</t>
  </si>
  <si>
    <t>Chu et al. 2014</t>
  </si>
  <si>
    <t>Freshwater marsh</t>
  </si>
  <si>
    <t>Peltola et al. 2019</t>
  </si>
  <si>
    <t>Modeling, flux measurement upscaling</t>
  </si>
  <si>
    <t>Zhu et al. 2015</t>
  </si>
  <si>
    <t>Modeling</t>
  </si>
  <si>
    <t>Year</t>
  </si>
  <si>
    <t>Open Water</t>
  </si>
  <si>
    <t>Woody Wetlands</t>
  </si>
  <si>
    <t>Emergent Herbaceous Wetlands</t>
  </si>
  <si>
    <t>Water bodies</t>
  </si>
  <si>
    <t>Wetlands (acres)</t>
  </si>
  <si>
    <t>NLCD data (acres)</t>
  </si>
  <si>
    <t>TOTAL</t>
  </si>
  <si>
    <t>Acres</t>
  </si>
  <si>
    <t>Total</t>
  </si>
  <si>
    <t>MMT CO2-e</t>
  </si>
  <si>
    <t>metric tons CO2</t>
  </si>
  <si>
    <t>MMT CO2</t>
  </si>
  <si>
    <t>Wetlands and water bodies</t>
  </si>
  <si>
    <t>NLCD</t>
  </si>
  <si>
    <t>metric tons CO2-e ha-1 yr-1</t>
  </si>
  <si>
    <t>Rate of change</t>
  </si>
  <si>
    <t>ha/yr</t>
  </si>
  <si>
    <t>MT CO2-e ha-1</t>
  </si>
  <si>
    <t>Interpolation</t>
  </si>
  <si>
    <t>Carbon storage in wetlands (Eastern Mts &amp; Upper Midwest)</t>
  </si>
  <si>
    <t>Value2 (0-30 cm)</t>
  </si>
  <si>
    <t>Value3 (0-120cm)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</si>
</sst>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0.0%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rgb="FF1C1D1E"/>
      <name val="Open Sans"/>
      <family val="2"/>
    </font>
    <font>
      <sz val="9"/>
      <color rgb="FF1C1D1E"/>
      <name val="Open Sans"/>
      <family val="2"/>
    </font>
    <font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3" fillId="0" borderId="2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4" fillId="0" borderId="0" xfId="0" applyFont="1"/>
    <xf numFmtId="0" fontId="6" fillId="0" borderId="7" xfId="0" applyFont="1" applyFill="1" applyBorder="1" applyAlignment="1">
      <alignment horizontal="justify" vertical="center" wrapText="1"/>
    </xf>
    <xf numFmtId="0" fontId="6" fillId="0" borderId="5" xfId="0" applyFont="1" applyBorder="1" applyAlignment="1">
      <alignment horizontal="justify" vertical="center" wrapText="1"/>
    </xf>
    <xf numFmtId="0" fontId="6" fillId="0" borderId="6" xfId="0" applyFont="1" applyBorder="1" applyAlignment="1">
      <alignment horizontal="justify" vertical="center" wrapText="1"/>
    </xf>
    <xf numFmtId="0" fontId="7" fillId="0" borderId="0" xfId="0" applyFont="1"/>
    <xf numFmtId="0" fontId="3" fillId="0" borderId="0" xfId="0" applyFont="1" applyFill="1" applyBorder="1" applyAlignment="1">
      <alignment horizontal="justify" vertical="center" wrapText="1"/>
    </xf>
    <xf numFmtId="2" fontId="0" fillId="0" borderId="0" xfId="0" applyNumberFormat="1"/>
    <xf numFmtId="0" fontId="8" fillId="0" borderId="0" xfId="0" applyFont="1" applyFill="1" applyBorder="1" applyAlignment="1">
      <alignment horizontal="justify" vertical="center" wrapText="1"/>
    </xf>
    <xf numFmtId="0" fontId="3" fillId="0" borderId="0" xfId="0" applyFont="1" applyBorder="1" applyAlignment="1">
      <alignment horizontal="justify" vertical="center" wrapText="1"/>
    </xf>
    <xf numFmtId="2" fontId="4" fillId="0" borderId="0" xfId="0" applyNumberFormat="1" applyFont="1"/>
    <xf numFmtId="1" fontId="0" fillId="0" borderId="0" xfId="0" applyNumberFormat="1"/>
    <xf numFmtId="0" fontId="7" fillId="0" borderId="0" xfId="0" applyFont="1" applyFill="1" applyBorder="1"/>
    <xf numFmtId="0" fontId="2" fillId="0" borderId="0" xfId="0" applyFont="1"/>
    <xf numFmtId="3" fontId="0" fillId="0" borderId="0" xfId="0" applyNumberFormat="1"/>
    <xf numFmtId="164" fontId="0" fillId="0" borderId="0" xfId="1" applyNumberFormat="1" applyFont="1"/>
    <xf numFmtId="1" fontId="3" fillId="0" borderId="0" xfId="0" applyNumberFormat="1" applyFont="1" applyBorder="1" applyAlignment="1">
      <alignment horizontal="right" vertical="center" wrapText="1"/>
    </xf>
    <xf numFmtId="1" fontId="4" fillId="0" borderId="0" xfId="0" applyNumberFormat="1" applyFont="1" applyAlignment="1">
      <alignment horizontal="right"/>
    </xf>
    <xf numFmtId="0" fontId="3" fillId="0" borderId="7" xfId="0" applyFont="1" applyBorder="1" applyAlignment="1">
      <alignment horizontal="justify" vertical="center" wrapText="1"/>
    </xf>
    <xf numFmtId="0" fontId="6" fillId="0" borderId="0" xfId="0" applyFont="1" applyBorder="1" applyAlignment="1">
      <alignment horizontal="justify" vertical="center" wrapText="1"/>
    </xf>
    <xf numFmtId="0" fontId="3" fillId="0" borderId="8" xfId="0" applyFont="1" applyBorder="1" applyAlignment="1">
      <alignment horizontal="justify" vertical="center" wrapText="1"/>
    </xf>
    <xf numFmtId="43" fontId="0" fillId="0" borderId="0" xfId="0" applyNumberFormat="1"/>
    <xf numFmtId="165" fontId="0" fillId="0" borderId="0" xfId="2" applyNumberFormat="1" applyFont="1"/>
    <xf numFmtId="164" fontId="0" fillId="0" borderId="0" xfId="0" applyNumberFormat="1"/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1"/>
          <c:order val="0"/>
          <c:tx>
            <c:strRef>
              <c:f>'Wetlands and Water bodies'!$Q$3</c:f>
              <c:strCache>
                <c:ptCount val="1"/>
                <c:pt idx="0">
                  <c:v>Interpolation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'Wetlands and Water bodies'!$Q$4:$Q$34</c:f>
              <c:numCache>
                <c:formatCode>General</c:formatCode>
                <c:ptCount val="31"/>
                <c:pt idx="0">
                  <c:v>1990</c:v>
                </c:pt>
                <c:pt idx="1">
                  <c:v>1991</c:v>
                </c:pt>
                <c:pt idx="2">
                  <c:v>1992</c:v>
                </c:pt>
                <c:pt idx="3">
                  <c:v>1993</c:v>
                </c:pt>
                <c:pt idx="4">
                  <c:v>1994</c:v>
                </c:pt>
                <c:pt idx="5">
                  <c:v>1995</c:v>
                </c:pt>
                <c:pt idx="6">
                  <c:v>1996</c:v>
                </c:pt>
                <c:pt idx="7">
                  <c:v>1997</c:v>
                </c:pt>
                <c:pt idx="8">
                  <c:v>1998</c:v>
                </c:pt>
                <c:pt idx="9">
                  <c:v>1999</c:v>
                </c:pt>
                <c:pt idx="10">
                  <c:v>2000</c:v>
                </c:pt>
                <c:pt idx="11">
                  <c:v>2001</c:v>
                </c:pt>
                <c:pt idx="12">
                  <c:v>2002</c:v>
                </c:pt>
                <c:pt idx="13">
                  <c:v>2003</c:v>
                </c:pt>
                <c:pt idx="14">
                  <c:v>2004</c:v>
                </c:pt>
                <c:pt idx="15">
                  <c:v>2005</c:v>
                </c:pt>
                <c:pt idx="16">
                  <c:v>2006</c:v>
                </c:pt>
                <c:pt idx="17">
                  <c:v>2007</c:v>
                </c:pt>
                <c:pt idx="18">
                  <c:v>2008</c:v>
                </c:pt>
                <c:pt idx="19">
                  <c:v>2009</c:v>
                </c:pt>
                <c:pt idx="20">
                  <c:v>2010</c:v>
                </c:pt>
                <c:pt idx="21">
                  <c:v>2011</c:v>
                </c:pt>
                <c:pt idx="22">
                  <c:v>2012</c:v>
                </c:pt>
                <c:pt idx="23">
                  <c:v>2013</c:v>
                </c:pt>
                <c:pt idx="24">
                  <c:v>2014</c:v>
                </c:pt>
                <c:pt idx="25">
                  <c:v>2015</c:v>
                </c:pt>
                <c:pt idx="26">
                  <c:v>2016</c:v>
                </c:pt>
                <c:pt idx="27">
                  <c:v>2017</c:v>
                </c:pt>
                <c:pt idx="28">
                  <c:v>2018</c:v>
                </c:pt>
                <c:pt idx="29">
                  <c:v>2019</c:v>
                </c:pt>
                <c:pt idx="30">
                  <c:v>2020</c:v>
                </c:pt>
              </c:numCache>
            </c:numRef>
          </c:xVal>
          <c:yVal>
            <c:numRef>
              <c:f>'Wetlands and Water bodies'!$R$4:$R$34</c:f>
              <c:numCache>
                <c:formatCode>#,##0</c:formatCode>
                <c:ptCount val="31"/>
                <c:pt idx="0">
                  <c:v>-11924.40356131121</c:v>
                </c:pt>
                <c:pt idx="1">
                  <c:v>-11924.40356131121</c:v>
                </c:pt>
                <c:pt idx="2">
                  <c:v>-11924.40356131121</c:v>
                </c:pt>
                <c:pt idx="3">
                  <c:v>-11924.40356131121</c:v>
                </c:pt>
                <c:pt idx="4">
                  <c:v>-11924.40356131121</c:v>
                </c:pt>
                <c:pt idx="5">
                  <c:v>-11924.40356131121</c:v>
                </c:pt>
                <c:pt idx="6">
                  <c:v>-11924.40356131121</c:v>
                </c:pt>
                <c:pt idx="7">
                  <c:v>-11924.40356131121</c:v>
                </c:pt>
                <c:pt idx="8">
                  <c:v>-11924.40356131121</c:v>
                </c:pt>
                <c:pt idx="9">
                  <c:v>-11924.40356131121</c:v>
                </c:pt>
                <c:pt idx="10">
                  <c:v>-11924.40356131121</c:v>
                </c:pt>
                <c:pt idx="11">
                  <c:v>-11924.40356131121</c:v>
                </c:pt>
                <c:pt idx="12">
                  <c:v>-11920</c:v>
                </c:pt>
                <c:pt idx="13">
                  <c:v>-11915</c:v>
                </c:pt>
                <c:pt idx="14">
                  <c:v>-11911.08619991906</c:v>
                </c:pt>
                <c:pt idx="15">
                  <c:v>-11914</c:v>
                </c:pt>
                <c:pt idx="16">
                  <c:v>-11918.444678267908</c:v>
                </c:pt>
                <c:pt idx="17">
                  <c:v>-11900</c:v>
                </c:pt>
                <c:pt idx="18">
                  <c:v>-11878.153298259813</c:v>
                </c:pt>
                <c:pt idx="19">
                  <c:v>-11878.5</c:v>
                </c:pt>
                <c:pt idx="20">
                  <c:v>-11879</c:v>
                </c:pt>
                <c:pt idx="21">
                  <c:v>-11880.422339133955</c:v>
                </c:pt>
                <c:pt idx="22">
                  <c:v>-11884</c:v>
                </c:pt>
                <c:pt idx="23">
                  <c:v>-11887.038607851073</c:v>
                </c:pt>
                <c:pt idx="24">
                  <c:v>-11900</c:v>
                </c:pt>
                <c:pt idx="25">
                  <c:v>-11905</c:v>
                </c:pt>
                <c:pt idx="26">
                  <c:v>-11912.040469445568</c:v>
                </c:pt>
                <c:pt idx="27">
                  <c:v>-11911</c:v>
                </c:pt>
                <c:pt idx="28">
                  <c:v>-11911</c:v>
                </c:pt>
                <c:pt idx="29">
                  <c:v>-11910.301578308377</c:v>
                </c:pt>
                <c:pt idx="30">
                  <c:v>-11910.301578308377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46C-47EF-B6C8-A581D0BA9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4575087"/>
        <c:axId val="834577999"/>
      </c:scatterChart>
      <c:valAx>
        <c:axId val="834575087"/>
        <c:scaling>
          <c:orientation val="minMax"/>
          <c:max val="2020"/>
          <c:min val="1990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577999"/>
        <c:crossesAt val="-12000"/>
        <c:crossBetween val="midCat"/>
        <c:majorUnit val="5"/>
      </c:valAx>
      <c:valAx>
        <c:axId val="834577999"/>
        <c:scaling>
          <c:orientation val="minMax"/>
          <c:max val="-11000"/>
          <c:min val="-12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Wetlands and water bodies emissions (metric tons CO</a:t>
                </a:r>
                <a:r>
                  <a:rPr lang="en-US" sz="1200" b="1" baseline="-25000"/>
                  <a:t>2</a:t>
                </a:r>
                <a:r>
                  <a:rPr lang="en-US" sz="1200" b="1"/>
                  <a:t>-e yr</a:t>
                </a:r>
                <a:r>
                  <a:rPr lang="en-US" sz="1200" b="1" baseline="30000"/>
                  <a:t>-1</a:t>
                </a:r>
                <a:r>
                  <a:rPr lang="en-US" sz="1200" b="1" baseline="0"/>
                  <a:t>)</a:t>
                </a:r>
                <a:endParaRPr lang="en-US" sz="1200" b="1" baseline="30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575087"/>
        <c:crosses val="autoZero"/>
        <c:crossBetween val="midCat"/>
        <c:majorUnit val="20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'Wetlands and Water bodies'!$A$4:$A$11</c:f>
              <c:numCache>
                <c:formatCode>General</c:formatCode>
                <c:ptCount val="8"/>
                <c:pt idx="0">
                  <c:v>2001</c:v>
                </c:pt>
                <c:pt idx="1">
                  <c:v>2004</c:v>
                </c:pt>
                <c:pt idx="2">
                  <c:v>2006</c:v>
                </c:pt>
                <c:pt idx="3">
                  <c:v>2008</c:v>
                </c:pt>
                <c:pt idx="4">
                  <c:v>2011</c:v>
                </c:pt>
                <c:pt idx="5">
                  <c:v>2013</c:v>
                </c:pt>
                <c:pt idx="6">
                  <c:v>2016</c:v>
                </c:pt>
                <c:pt idx="7">
                  <c:v>2019</c:v>
                </c:pt>
              </c:numCache>
            </c:numRef>
          </c:xVal>
          <c:yVal>
            <c:numRef>
              <c:f>'Wetlands and Water bodies'!$F$4:$F$11</c:f>
              <c:numCache>
                <c:formatCode>#,##0</c:formatCode>
                <c:ptCount val="8"/>
                <c:pt idx="0">
                  <c:v>319148</c:v>
                </c:pt>
                <c:pt idx="1">
                  <c:v>319038</c:v>
                </c:pt>
                <c:pt idx="2">
                  <c:v>316706</c:v>
                </c:pt>
                <c:pt idx="3">
                  <c:v>316178</c:v>
                </c:pt>
                <c:pt idx="4">
                  <c:v>314308</c:v>
                </c:pt>
                <c:pt idx="5">
                  <c:v>317718</c:v>
                </c:pt>
                <c:pt idx="6">
                  <c:v>321266</c:v>
                </c:pt>
                <c:pt idx="7">
                  <c:v>323563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43-4FC7-8DC4-FF74AA3D348F}"/>
            </c:ext>
          </c:extLst>
        </c:ser>
        <c:ser>
          <c:idx val="1"/>
          <c:order val="1"/>
          <c:tx>
            <c:strRef>
              <c:f>'Wetlands and Water bodies'!$E$3</c:f>
              <c:strCache>
                <c:ptCount val="1"/>
                <c:pt idx="0">
                  <c:v>Water bodies</c:v>
                </c:pt>
              </c:strCache>
            </c:strRef>
          </c:tx>
          <c:spPr>
            <a:ln w="19050" cap="rnd">
              <a:solidFill>
                <a:schemeClr val="tx2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'Wetlands and Water bodies'!$A$4:$A$11</c:f>
              <c:numCache>
                <c:formatCode>General</c:formatCode>
                <c:ptCount val="8"/>
                <c:pt idx="0">
                  <c:v>2001</c:v>
                </c:pt>
                <c:pt idx="1">
                  <c:v>2004</c:v>
                </c:pt>
                <c:pt idx="2">
                  <c:v>2006</c:v>
                </c:pt>
                <c:pt idx="3">
                  <c:v>2008</c:v>
                </c:pt>
                <c:pt idx="4">
                  <c:v>2011</c:v>
                </c:pt>
                <c:pt idx="5">
                  <c:v>2013</c:v>
                </c:pt>
                <c:pt idx="6">
                  <c:v>2016</c:v>
                </c:pt>
                <c:pt idx="7">
                  <c:v>2019</c:v>
                </c:pt>
              </c:numCache>
            </c:numRef>
          </c:xVal>
          <c:yVal>
            <c:numRef>
              <c:f>'Wetlands and Water bodies'!$E$4:$E$11</c:f>
              <c:numCache>
                <c:formatCode>#,##0</c:formatCode>
                <c:ptCount val="8"/>
                <c:pt idx="0">
                  <c:v>243165</c:v>
                </c:pt>
                <c:pt idx="1">
                  <c:v>242647</c:v>
                </c:pt>
                <c:pt idx="2">
                  <c:v>245326</c:v>
                </c:pt>
                <c:pt idx="3">
                  <c:v>243954</c:v>
                </c:pt>
                <c:pt idx="4">
                  <c:v>245931</c:v>
                </c:pt>
                <c:pt idx="5">
                  <c:v>242833</c:v>
                </c:pt>
                <c:pt idx="6">
                  <c:v>240464</c:v>
                </c:pt>
                <c:pt idx="7">
                  <c:v>238085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926-4B63-9B6B-C73A42F7FB22}"/>
            </c:ext>
          </c:extLst>
        </c:ser>
        <c:ser>
          <c:idx val="2"/>
          <c:order val="2"/>
          <c:tx>
            <c:strRef>
              <c:f>'Wetlands and Water bodies'!$G$3</c:f>
              <c:strCache>
                <c:ptCount val="1"/>
                <c:pt idx="0">
                  <c:v>TOTAL</c:v>
                </c:pt>
              </c:strCache>
            </c:strRef>
          </c:tx>
          <c:spPr>
            <a:ln w="1905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'Wetlands and Water bodies'!$A$4:$A$11</c:f>
              <c:numCache>
                <c:formatCode>General</c:formatCode>
                <c:ptCount val="8"/>
                <c:pt idx="0">
                  <c:v>2001</c:v>
                </c:pt>
                <c:pt idx="1">
                  <c:v>2004</c:v>
                </c:pt>
                <c:pt idx="2">
                  <c:v>2006</c:v>
                </c:pt>
                <c:pt idx="3">
                  <c:v>2008</c:v>
                </c:pt>
                <c:pt idx="4">
                  <c:v>2011</c:v>
                </c:pt>
                <c:pt idx="5">
                  <c:v>2013</c:v>
                </c:pt>
                <c:pt idx="6">
                  <c:v>2016</c:v>
                </c:pt>
                <c:pt idx="7">
                  <c:v>2019</c:v>
                </c:pt>
              </c:numCache>
            </c:numRef>
          </c:xVal>
          <c:yVal>
            <c:numRef>
              <c:f>'Wetlands and Water bodies'!$G$4:$G$11</c:f>
              <c:numCache>
                <c:formatCode>#,##0</c:formatCode>
                <c:ptCount val="8"/>
                <c:pt idx="0">
                  <c:v>562313</c:v>
                </c:pt>
                <c:pt idx="1">
                  <c:v>561685</c:v>
                </c:pt>
                <c:pt idx="2">
                  <c:v>562032</c:v>
                </c:pt>
                <c:pt idx="3">
                  <c:v>560132</c:v>
                </c:pt>
                <c:pt idx="4">
                  <c:v>560239</c:v>
                </c:pt>
                <c:pt idx="5">
                  <c:v>560551</c:v>
                </c:pt>
                <c:pt idx="6">
                  <c:v>561730</c:v>
                </c:pt>
                <c:pt idx="7">
                  <c:v>561648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926-4B63-9B6B-C73A42F7FB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34575087"/>
        <c:axId val="834577999"/>
      </c:scatterChart>
      <c:valAx>
        <c:axId val="834575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577999"/>
        <c:crosses val="autoZero"/>
        <c:crossBetween val="midCat"/>
      </c:valAx>
      <c:valAx>
        <c:axId val="83457799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Wetlands and water bodies (acres)</a:t>
                </a:r>
                <a:endParaRPr lang="en-US" sz="1200" b="1" baseline="30000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575087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581025</xdr:colOff>
      <xdr:row>13</xdr:row>
      <xdr:rowOff>76200</xdr:rowOff>
    </xdr:from>
    <xdr:to>
      <xdr:col>15</xdr:col>
      <xdr:colOff>419100</xdr:colOff>
      <xdr:row>27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7C21A4F-5AB3-4D46-AB46-286413CB38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133350</xdr:colOff>
      <xdr:row>13</xdr:row>
      <xdr:rowOff>76200</xdr:rowOff>
    </xdr:from>
    <xdr:to>
      <xdr:col>8</xdr:col>
      <xdr:colOff>438150</xdr:colOff>
      <xdr:row>27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784B554-DC63-4FE5-9FF4-5651CC2B9F4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1F5C3F-6A3C-473C-AA85-69ED5F1D27B6}">
  <dimension ref="A1:G10"/>
  <sheetViews>
    <sheetView workbookViewId="0">
      <selection activeCell="F11" sqref="F11"/>
    </sheetView>
  </sheetViews>
  <sheetFormatPr defaultRowHeight="15" x14ac:dyDescent="0.25"/>
  <cols>
    <col min="1" max="1" width="27.42578125" customWidth="1"/>
    <col min="2" max="2" width="25.5703125" customWidth="1"/>
    <col min="3" max="3" width="11.5703125" bestFit="1" customWidth="1"/>
    <col min="6" max="6" width="15.140625" bestFit="1" customWidth="1"/>
    <col min="7" max="7" width="16.42578125" bestFit="1" customWidth="1"/>
  </cols>
  <sheetData>
    <row r="1" spans="1:7" s="19" customFormat="1" x14ac:dyDescent="0.25">
      <c r="A1" s="19" t="s">
        <v>49</v>
      </c>
      <c r="B1" s="19" t="s">
        <v>0</v>
      </c>
      <c r="C1" s="19" t="s">
        <v>46</v>
      </c>
      <c r="D1" s="19" t="s">
        <v>48</v>
      </c>
      <c r="F1" s="19" t="s">
        <v>94</v>
      </c>
      <c r="G1" s="19" t="s">
        <v>95</v>
      </c>
    </row>
    <row r="2" spans="1:7" x14ac:dyDescent="0.25">
      <c r="A2" t="s">
        <v>93</v>
      </c>
      <c r="B2" t="s">
        <v>47</v>
      </c>
      <c r="C2">
        <v>0.48</v>
      </c>
      <c r="D2" t="s">
        <v>54</v>
      </c>
      <c r="F2">
        <f>153.2</f>
        <v>153.19999999999999</v>
      </c>
      <c r="G2">
        <f>67.6+122+135.3+153.2+49.5</f>
        <v>527.59999999999991</v>
      </c>
    </row>
    <row r="3" spans="1:7" x14ac:dyDescent="0.25">
      <c r="A3" t="s">
        <v>53</v>
      </c>
      <c r="B3" t="s">
        <v>50</v>
      </c>
      <c r="C3" s="20">
        <v>121406</v>
      </c>
      <c r="D3" t="s">
        <v>51</v>
      </c>
      <c r="F3" s="20">
        <f>C3</f>
        <v>121406</v>
      </c>
      <c r="G3" s="20">
        <f>C3</f>
        <v>121406</v>
      </c>
    </row>
    <row r="4" spans="1:7" x14ac:dyDescent="0.25">
      <c r="A4" t="s">
        <v>52</v>
      </c>
      <c r="C4" s="21">
        <f>C2*C3</f>
        <v>58274.879999999997</v>
      </c>
      <c r="D4" t="s">
        <v>55</v>
      </c>
      <c r="F4" s="21">
        <f>F2*F3</f>
        <v>18599399.199999999</v>
      </c>
      <c r="G4" s="21">
        <f>G2*G3</f>
        <v>64053805.599999987</v>
      </c>
    </row>
    <row r="5" spans="1:7" x14ac:dyDescent="0.25">
      <c r="C5" s="27">
        <f>C4/12*44</f>
        <v>213674.56</v>
      </c>
      <c r="D5" t="s">
        <v>84</v>
      </c>
      <c r="F5" s="29">
        <f>F4/12*44</f>
        <v>68197797.066666663</v>
      </c>
      <c r="G5" s="29">
        <f>G4/12*44</f>
        <v>234863953.86666662</v>
      </c>
    </row>
    <row r="6" spans="1:7" x14ac:dyDescent="0.25">
      <c r="C6" s="27">
        <f>C5/1000000</f>
        <v>0.21367455999999999</v>
      </c>
      <c r="D6" t="s">
        <v>85</v>
      </c>
      <c r="F6" s="27">
        <f>F5/1000000</f>
        <v>68.197797066666666</v>
      </c>
      <c r="G6" s="27">
        <f>G5/1000000</f>
        <v>234.86395386666661</v>
      </c>
    </row>
    <row r="7" spans="1:7" x14ac:dyDescent="0.25">
      <c r="A7" t="s">
        <v>86</v>
      </c>
      <c r="B7" t="s">
        <v>87</v>
      </c>
      <c r="C7" s="20">
        <f>'Wetlands and Water bodies'!H11</f>
        <v>227295.83164710642</v>
      </c>
      <c r="D7" t="s">
        <v>51</v>
      </c>
      <c r="F7" s="20">
        <f>C7</f>
        <v>227295.83164710642</v>
      </c>
      <c r="G7" s="20">
        <f>C7</f>
        <v>227295.83164710642</v>
      </c>
    </row>
    <row r="8" spans="1:7" x14ac:dyDescent="0.25">
      <c r="C8" s="21">
        <f>C6*C7</f>
        <v>48567.336817029536</v>
      </c>
      <c r="D8" t="s">
        <v>55</v>
      </c>
      <c r="F8" s="21">
        <f>F6*F7</f>
        <v>15501075.000768594</v>
      </c>
      <c r="G8" s="21">
        <f>G6*G7</f>
        <v>53383597.71805162</v>
      </c>
    </row>
    <row r="9" spans="1:7" x14ac:dyDescent="0.25">
      <c r="C9" s="27">
        <f>C8/12*44</f>
        <v>178080.23499577495</v>
      </c>
      <c r="D9" t="s">
        <v>84</v>
      </c>
      <c r="F9" s="27">
        <f>F8/12*44</f>
        <v>56837275.002818182</v>
      </c>
      <c r="G9" s="27">
        <f>G8/12*44</f>
        <v>195739858.29952261</v>
      </c>
    </row>
    <row r="10" spans="1:7" x14ac:dyDescent="0.25">
      <c r="C10" s="27">
        <f>C9/1000000</f>
        <v>0.17808023499577497</v>
      </c>
      <c r="D10" t="s">
        <v>85</v>
      </c>
      <c r="F10" s="27">
        <f>F9/1000000</f>
        <v>56.837275002818181</v>
      </c>
      <c r="G10" s="27">
        <f>G9/1000000</f>
        <v>195.73985829952261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9"/>
  <sheetViews>
    <sheetView workbookViewId="0">
      <selection activeCell="E31" sqref="E31"/>
    </sheetView>
  </sheetViews>
  <sheetFormatPr defaultRowHeight="15" x14ac:dyDescent="0.25"/>
  <cols>
    <col min="1" max="1" width="26.42578125" customWidth="1"/>
    <col min="2" max="2" width="60" customWidth="1"/>
    <col min="3" max="4" width="23.140625" customWidth="1"/>
    <col min="5" max="5" width="20.7109375" customWidth="1"/>
    <col min="6" max="6" width="24.28515625" customWidth="1"/>
    <col min="7" max="7" width="34.85546875" customWidth="1"/>
  </cols>
  <sheetData>
    <row r="1" spans="1:7" x14ac:dyDescent="0.25">
      <c r="C1" t="s">
        <v>3</v>
      </c>
      <c r="D1" t="s">
        <v>56</v>
      </c>
      <c r="E1" t="s">
        <v>56</v>
      </c>
    </row>
    <row r="2" spans="1:7" x14ac:dyDescent="0.25">
      <c r="D2">
        <f>44/12</f>
        <v>3.6666666666666665</v>
      </c>
    </row>
    <row r="3" spans="1:7" ht="15.75" thickBot="1" x14ac:dyDescent="0.3">
      <c r="A3" t="s">
        <v>0</v>
      </c>
      <c r="B3" t="s">
        <v>4</v>
      </c>
      <c r="C3" t="s">
        <v>1</v>
      </c>
      <c r="D3">
        <v>25</v>
      </c>
      <c r="F3" t="s">
        <v>8</v>
      </c>
      <c r="G3" t="s">
        <v>2</v>
      </c>
    </row>
    <row r="4" spans="1:7" ht="15.75" x14ac:dyDescent="0.25">
      <c r="A4" s="30" t="s">
        <v>5</v>
      </c>
      <c r="B4" s="30" t="s">
        <v>6</v>
      </c>
      <c r="C4" s="2">
        <v>11.4</v>
      </c>
      <c r="D4" s="22">
        <f>C4*D3</f>
        <v>285</v>
      </c>
      <c r="F4" s="9" t="s">
        <v>9</v>
      </c>
      <c r="G4" s="1" t="s">
        <v>7</v>
      </c>
    </row>
    <row r="5" spans="1:7" ht="16.5" thickBot="1" x14ac:dyDescent="0.3">
      <c r="A5" s="31"/>
      <c r="B5" s="31"/>
      <c r="C5" s="3">
        <v>-341</v>
      </c>
      <c r="D5" s="22">
        <f>C5*D2</f>
        <v>-1250.3333333333333</v>
      </c>
      <c r="E5" s="17"/>
      <c r="F5" s="10" t="s">
        <v>10</v>
      </c>
      <c r="G5" s="4"/>
    </row>
    <row r="6" spans="1:7" ht="16.5" thickBot="1" x14ac:dyDescent="0.3">
      <c r="A6" s="15"/>
      <c r="B6" s="15"/>
      <c r="C6" s="24"/>
      <c r="D6" s="22"/>
      <c r="E6" s="17">
        <f>SUM(D4:D5)</f>
        <v>-965.33333333333326</v>
      </c>
      <c r="F6" s="25" t="s">
        <v>15</v>
      </c>
      <c r="G6" s="26"/>
    </row>
    <row r="7" spans="1:7" ht="15.75" customHeight="1" x14ac:dyDescent="0.25">
      <c r="A7" t="s">
        <v>5</v>
      </c>
      <c r="B7" t="s">
        <v>6</v>
      </c>
      <c r="C7" s="1">
        <v>-397</v>
      </c>
      <c r="D7" s="22">
        <f>C7*D2</f>
        <v>-1455.6666666666665</v>
      </c>
      <c r="F7" s="11" t="s">
        <v>10</v>
      </c>
      <c r="G7" s="1" t="s">
        <v>11</v>
      </c>
    </row>
    <row r="8" spans="1:7" ht="16.5" thickBot="1" x14ac:dyDescent="0.3">
      <c r="A8" t="s">
        <v>5</v>
      </c>
      <c r="B8" t="s">
        <v>6</v>
      </c>
      <c r="C8" s="4">
        <v>43</v>
      </c>
      <c r="D8" s="22">
        <f>43*$D$3</f>
        <v>1075</v>
      </c>
      <c r="F8" s="11" t="s">
        <v>12</v>
      </c>
      <c r="G8" s="4"/>
    </row>
    <row r="9" spans="1:7" ht="16.5" thickBot="1" x14ac:dyDescent="0.3">
      <c r="A9" t="s">
        <v>5</v>
      </c>
      <c r="B9" t="s">
        <v>6</v>
      </c>
      <c r="C9" s="3"/>
      <c r="D9" s="22"/>
      <c r="E9" s="17">
        <f>SUM(D7:D8)</f>
        <v>-380.66666666666652</v>
      </c>
      <c r="F9" s="11" t="s">
        <v>15</v>
      </c>
      <c r="G9" s="3"/>
    </row>
    <row r="10" spans="1:7" ht="32.25" thickBot="1" x14ac:dyDescent="0.3">
      <c r="A10" s="5" t="s">
        <v>13</v>
      </c>
      <c r="B10" s="6"/>
      <c r="C10" s="6">
        <v>-29</v>
      </c>
      <c r="D10" s="22">
        <f>C10*$D$2</f>
        <v>-106.33333333333333</v>
      </c>
      <c r="E10" s="17">
        <f>D10</f>
        <v>-106.33333333333333</v>
      </c>
      <c r="F10" s="11" t="s">
        <v>15</v>
      </c>
      <c r="G10" s="6" t="s">
        <v>14</v>
      </c>
    </row>
    <row r="11" spans="1:7" ht="16.5" thickBot="1" x14ac:dyDescent="0.3">
      <c r="A11" s="5" t="s">
        <v>16</v>
      </c>
      <c r="B11" s="6"/>
      <c r="C11" s="6">
        <f>-20-140</f>
        <v>-160</v>
      </c>
      <c r="D11" s="22">
        <f>C11*$D$2</f>
        <v>-586.66666666666663</v>
      </c>
      <c r="E11" s="17">
        <f t="shared" ref="E11:E14" si="0">D11</f>
        <v>-586.66666666666663</v>
      </c>
      <c r="F11" s="11" t="s">
        <v>15</v>
      </c>
      <c r="G11" s="6" t="s">
        <v>17</v>
      </c>
    </row>
    <row r="12" spans="1:7" ht="26.25" customHeight="1" thickBot="1" x14ac:dyDescent="0.3">
      <c r="A12" s="4" t="s">
        <v>18</v>
      </c>
      <c r="B12" s="3" t="s">
        <v>19</v>
      </c>
      <c r="C12" s="3" t="s">
        <v>30</v>
      </c>
      <c r="D12" s="22">
        <f>-143*D2</f>
        <v>-524.33333333333326</v>
      </c>
      <c r="E12" s="17">
        <f t="shared" si="0"/>
        <v>-524.33333333333326</v>
      </c>
      <c r="F12" s="8" t="s">
        <v>15</v>
      </c>
      <c r="G12" s="3" t="s">
        <v>20</v>
      </c>
    </row>
    <row r="13" spans="1:7" ht="32.25" thickBot="1" x14ac:dyDescent="0.3">
      <c r="A13" s="4" t="s">
        <v>18</v>
      </c>
      <c r="B13" s="3" t="s">
        <v>19</v>
      </c>
      <c r="C13" s="3" t="s">
        <v>31</v>
      </c>
      <c r="D13" s="22">
        <f>-187*D2</f>
        <v>-685.66666666666663</v>
      </c>
      <c r="E13" s="17">
        <f t="shared" si="0"/>
        <v>-685.66666666666663</v>
      </c>
      <c r="F13" s="11" t="s">
        <v>15</v>
      </c>
      <c r="G13" s="3" t="s">
        <v>21</v>
      </c>
    </row>
    <row r="14" spans="1:7" ht="32.25" thickBot="1" x14ac:dyDescent="0.3">
      <c r="A14" s="4" t="s">
        <v>18</v>
      </c>
      <c r="B14" s="3" t="s">
        <v>19</v>
      </c>
      <c r="C14" s="3" t="s">
        <v>29</v>
      </c>
      <c r="D14" s="22">
        <f>-242*D2</f>
        <v>-887.33333333333326</v>
      </c>
      <c r="E14" s="17">
        <f t="shared" si="0"/>
        <v>-887.33333333333326</v>
      </c>
      <c r="F14" s="11" t="s">
        <v>15</v>
      </c>
      <c r="G14" s="3" t="s">
        <v>22</v>
      </c>
    </row>
    <row r="15" spans="1:7" ht="18.75" thickBot="1" x14ac:dyDescent="0.4">
      <c r="A15" s="4" t="s">
        <v>23</v>
      </c>
      <c r="B15" s="3" t="s">
        <v>33</v>
      </c>
      <c r="C15" s="16">
        <f>B36</f>
        <v>1.578567388488689</v>
      </c>
      <c r="D15" s="22">
        <f>C15*$D$3</f>
        <v>39.464184712217225</v>
      </c>
      <c r="F15" s="11" t="s">
        <v>12</v>
      </c>
      <c r="G15" s="3" t="s">
        <v>24</v>
      </c>
    </row>
    <row r="16" spans="1:7" ht="18.75" thickBot="1" x14ac:dyDescent="0.4">
      <c r="A16" s="4" t="s">
        <v>23</v>
      </c>
      <c r="B16" s="3" t="s">
        <v>33</v>
      </c>
      <c r="C16" s="16">
        <f>B39</f>
        <v>-108.80280137375536</v>
      </c>
      <c r="D16" s="23">
        <f>C16*D2</f>
        <v>-398.94360503710294</v>
      </c>
      <c r="F16" s="11" t="s">
        <v>10</v>
      </c>
      <c r="G16" s="3" t="s">
        <v>24</v>
      </c>
    </row>
    <row r="17" spans="1:7" ht="18.75" thickBot="1" x14ac:dyDescent="0.4">
      <c r="A17" s="4" t="s">
        <v>23</v>
      </c>
      <c r="B17" s="3" t="s">
        <v>33</v>
      </c>
      <c r="C17" s="16"/>
      <c r="D17" s="23"/>
      <c r="E17" s="17">
        <f>SUM(D15:D16)</f>
        <v>-359.47942032488572</v>
      </c>
      <c r="F17" s="11" t="s">
        <v>15</v>
      </c>
      <c r="G17" s="3"/>
    </row>
    <row r="18" spans="1:7" ht="26.25" customHeight="1" thickBot="1" x14ac:dyDescent="0.3">
      <c r="A18" s="4" t="s">
        <v>25</v>
      </c>
      <c r="B18" s="3" t="s">
        <v>26</v>
      </c>
      <c r="C18" s="3">
        <f>-317</f>
        <v>-317</v>
      </c>
      <c r="D18" s="22">
        <f>C18*D2</f>
        <v>-1162.3333333333333</v>
      </c>
      <c r="E18" s="17">
        <f>D18</f>
        <v>-1162.3333333333333</v>
      </c>
      <c r="F18" s="8" t="s">
        <v>15</v>
      </c>
      <c r="G18" s="3" t="s">
        <v>27</v>
      </c>
    </row>
    <row r="19" spans="1:7" ht="16.5" thickBot="1" x14ac:dyDescent="0.3">
      <c r="A19" s="4" t="s">
        <v>25</v>
      </c>
      <c r="B19" s="3" t="s">
        <v>26</v>
      </c>
      <c r="C19" s="3">
        <v>-140</v>
      </c>
      <c r="D19" s="22">
        <f>C19*D2</f>
        <v>-513.33333333333326</v>
      </c>
      <c r="E19" s="17">
        <f>D19</f>
        <v>-513.33333333333326</v>
      </c>
      <c r="F19" s="11" t="s">
        <v>15</v>
      </c>
      <c r="G19" s="3" t="s">
        <v>28</v>
      </c>
    </row>
    <row r="20" spans="1:7" ht="15.75" x14ac:dyDescent="0.25">
      <c r="A20" s="15" t="s">
        <v>67</v>
      </c>
      <c r="B20" s="15" t="s">
        <v>6</v>
      </c>
      <c r="C20" s="15">
        <v>49.7</v>
      </c>
      <c r="D20" s="22">
        <f>C20*$D$3</f>
        <v>1242.5</v>
      </c>
      <c r="E20" s="17"/>
      <c r="F20" s="11" t="s">
        <v>12</v>
      </c>
      <c r="G20" s="15" t="s">
        <v>68</v>
      </c>
    </row>
    <row r="21" spans="1:7" ht="15.75" x14ac:dyDescent="0.25">
      <c r="A21" s="12" t="s">
        <v>69</v>
      </c>
      <c r="B21" s="12" t="s">
        <v>70</v>
      </c>
      <c r="C21">
        <v>2</v>
      </c>
      <c r="D21" s="22">
        <f>C21*$D$3</f>
        <v>50</v>
      </c>
      <c r="F21" s="11" t="s">
        <v>12</v>
      </c>
    </row>
    <row r="22" spans="1:7" ht="15.75" x14ac:dyDescent="0.25">
      <c r="A22" s="12" t="s">
        <v>71</v>
      </c>
      <c r="B22" s="12" t="s">
        <v>72</v>
      </c>
      <c r="C22" s="12">
        <v>35</v>
      </c>
      <c r="D22" s="22">
        <f>C22*$D$3</f>
        <v>875</v>
      </c>
      <c r="F22" s="11" t="s">
        <v>12</v>
      </c>
    </row>
    <row r="23" spans="1:7" x14ac:dyDescent="0.25">
      <c r="A23" s="19" t="s">
        <v>57</v>
      </c>
      <c r="E23" s="17">
        <f>-GEOMEAN(965,381,106,587,524,686,887,359,1162,513)</f>
        <v>-524.00969475111913</v>
      </c>
      <c r="F23" s="18" t="s">
        <v>43</v>
      </c>
    </row>
    <row r="24" spans="1:7" x14ac:dyDescent="0.25">
      <c r="E24" s="17">
        <f>AVERAGE(E4:E19)</f>
        <v>-617.14794203248846</v>
      </c>
      <c r="F24" s="18" t="s">
        <v>44</v>
      </c>
    </row>
    <row r="25" spans="1:7" x14ac:dyDescent="0.25">
      <c r="E25" s="17">
        <f>MEDIAN(E4:E19)</f>
        <v>-555.5</v>
      </c>
      <c r="F25" s="18" t="s">
        <v>45</v>
      </c>
    </row>
    <row r="26" spans="1:7" x14ac:dyDescent="0.25">
      <c r="E26">
        <f>E23/(10^6)</f>
        <v>-5.2400969475111913E-4</v>
      </c>
      <c r="F26" s="18" t="s">
        <v>58</v>
      </c>
    </row>
    <row r="27" spans="1:7" x14ac:dyDescent="0.25">
      <c r="E27">
        <f>E26/1000000</f>
        <v>-5.2400969475111916E-10</v>
      </c>
      <c r="F27" s="18" t="s">
        <v>62</v>
      </c>
    </row>
    <row r="28" spans="1:7" x14ac:dyDescent="0.25">
      <c r="E28" s="20">
        <v>121406</v>
      </c>
      <c r="F28" s="18" t="s">
        <v>59</v>
      </c>
    </row>
    <row r="29" spans="1:7" x14ac:dyDescent="0.25">
      <c r="E29">
        <f>E28*100*100</f>
        <v>1214060000</v>
      </c>
      <c r="F29" s="18" t="s">
        <v>60</v>
      </c>
    </row>
    <row r="30" spans="1:7" x14ac:dyDescent="0.25">
      <c r="D30" t="s">
        <v>63</v>
      </c>
      <c r="E30">
        <f>E29*E27</f>
        <v>-0.63617921000954369</v>
      </c>
      <c r="F30" s="18" t="s">
        <v>61</v>
      </c>
    </row>
    <row r="31" spans="1:7" x14ac:dyDescent="0.25">
      <c r="D31" t="s">
        <v>64</v>
      </c>
      <c r="E31" s="20">
        <v>58274</v>
      </c>
      <c r="F31" s="18" t="s">
        <v>65</v>
      </c>
    </row>
    <row r="32" spans="1:7" ht="31.5" x14ac:dyDescent="0.25">
      <c r="A32" s="14" t="s">
        <v>34</v>
      </c>
      <c r="E32">
        <f>E31/1000000*D2*44/12</f>
        <v>0.78346155555555563</v>
      </c>
      <c r="F32" s="18" t="s">
        <v>66</v>
      </c>
    </row>
    <row r="33" spans="1:5" ht="18" x14ac:dyDescent="0.35">
      <c r="A33" s="12" t="s">
        <v>35</v>
      </c>
      <c r="B33" s="7" t="s">
        <v>32</v>
      </c>
    </row>
    <row r="34" spans="1:5" ht="47.25" x14ac:dyDescent="0.25">
      <c r="A34" s="12" t="s">
        <v>37</v>
      </c>
      <c r="B34" s="13">
        <f>0.1*12/16</f>
        <v>7.5000000000000011E-2</v>
      </c>
      <c r="C34" t="s">
        <v>36</v>
      </c>
      <c r="E34" t="s">
        <v>38</v>
      </c>
    </row>
    <row r="35" spans="1:5" x14ac:dyDescent="0.25">
      <c r="B35" s="13">
        <f>44.3*12/16</f>
        <v>33.224999999999994</v>
      </c>
      <c r="C35" t="s">
        <v>36</v>
      </c>
      <c r="E35" t="s">
        <v>39</v>
      </c>
    </row>
    <row r="36" spans="1:5" x14ac:dyDescent="0.25">
      <c r="B36" s="13">
        <f>GEOMEAN(B34:B35)</f>
        <v>1.578567388488689</v>
      </c>
      <c r="C36" t="s">
        <v>36</v>
      </c>
      <c r="E36" t="s">
        <v>42</v>
      </c>
    </row>
    <row r="37" spans="1:5" ht="47.25" x14ac:dyDescent="0.25">
      <c r="A37" s="12" t="s">
        <v>40</v>
      </c>
      <c r="B37" s="13">
        <f>-36*12/44</f>
        <v>-9.8181818181818183</v>
      </c>
      <c r="C37" t="s">
        <v>41</v>
      </c>
      <c r="E37" t="s">
        <v>38</v>
      </c>
    </row>
    <row r="38" spans="1:5" x14ac:dyDescent="0.25">
      <c r="B38" s="13">
        <f>-4421*12/44</f>
        <v>-1205.7272727272727</v>
      </c>
      <c r="C38" t="s">
        <v>41</v>
      </c>
      <c r="E38" t="s">
        <v>39</v>
      </c>
    </row>
    <row r="39" spans="1:5" x14ac:dyDescent="0.25">
      <c r="B39" s="13">
        <f>-GEOMEAN(-B37,-B38)</f>
        <v>-108.80280137375536</v>
      </c>
      <c r="C39" t="s">
        <v>36</v>
      </c>
      <c r="E39" t="s">
        <v>42</v>
      </c>
    </row>
  </sheetData>
  <mergeCells count="2">
    <mergeCell ref="A4:A5"/>
    <mergeCell ref="B4:B5"/>
  </mergeCells>
  <phoneticPr fontId="9" type="noConversion"/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222919-8B3E-4A02-82E3-B2466979778F}">
  <dimension ref="A1:R34"/>
  <sheetViews>
    <sheetView tabSelected="1" workbookViewId="0">
      <selection activeCell="R4" sqref="R4:R34"/>
    </sheetView>
  </sheetViews>
  <sheetFormatPr defaultRowHeight="15" x14ac:dyDescent="0.25"/>
  <cols>
    <col min="10" max="10" width="10" bestFit="1" customWidth="1"/>
    <col min="11" max="11" width="12.7109375" bestFit="1" customWidth="1"/>
    <col min="13" max="13" width="11.7109375" bestFit="1" customWidth="1"/>
  </cols>
  <sheetData>
    <row r="1" spans="1:18" x14ac:dyDescent="0.25">
      <c r="J1" t="s">
        <v>83</v>
      </c>
    </row>
    <row r="2" spans="1:18" x14ac:dyDescent="0.25">
      <c r="A2" t="s">
        <v>79</v>
      </c>
      <c r="G2" t="s">
        <v>81</v>
      </c>
      <c r="H2" t="s">
        <v>51</v>
      </c>
      <c r="J2">
        <f>0.48*(44/12)</f>
        <v>1.7599999999999998</v>
      </c>
      <c r="K2" t="s">
        <v>91</v>
      </c>
      <c r="M2">
        <v>-524</v>
      </c>
      <c r="N2" t="s">
        <v>56</v>
      </c>
    </row>
    <row r="3" spans="1:18" x14ac:dyDescent="0.25">
      <c r="A3" t="s">
        <v>73</v>
      </c>
      <c r="B3" t="s">
        <v>74</v>
      </c>
      <c r="C3" t="s">
        <v>75</v>
      </c>
      <c r="D3" t="s">
        <v>76</v>
      </c>
      <c r="E3" t="s">
        <v>77</v>
      </c>
      <c r="F3" t="s">
        <v>78</v>
      </c>
      <c r="G3" t="s">
        <v>80</v>
      </c>
      <c r="H3" t="s">
        <v>82</v>
      </c>
      <c r="J3" t="s">
        <v>64</v>
      </c>
      <c r="K3" t="s">
        <v>63</v>
      </c>
      <c r="M3">
        <f>M2/100</f>
        <v>-5.24</v>
      </c>
      <c r="N3" t="s">
        <v>88</v>
      </c>
      <c r="Q3" t="s">
        <v>92</v>
      </c>
    </row>
    <row r="4" spans="1:18" x14ac:dyDescent="0.25">
      <c r="A4">
        <v>2001</v>
      </c>
      <c r="B4">
        <v>984087000</v>
      </c>
      <c r="C4">
        <v>1116727200</v>
      </c>
      <c r="D4">
        <v>174866400</v>
      </c>
      <c r="E4" s="20">
        <v>243165</v>
      </c>
      <c r="F4" s="20">
        <v>319148</v>
      </c>
      <c r="G4" s="20">
        <f>SUM(E4:F4)</f>
        <v>562313</v>
      </c>
      <c r="H4" s="20">
        <f>G4/2.471</f>
        <v>227564.95346013759</v>
      </c>
      <c r="I4" s="20"/>
      <c r="J4" s="20">
        <f>H4*$J$2</f>
        <v>400514.3180898421</v>
      </c>
      <c r="K4" s="20">
        <f>H4*$M$4</f>
        <v>-11924.40356131121</v>
      </c>
      <c r="M4">
        <f>M3/100</f>
        <v>-5.2400000000000002E-2</v>
      </c>
      <c r="Q4">
        <v>1990</v>
      </c>
      <c r="R4" s="20">
        <v>-11924.40356131121</v>
      </c>
    </row>
    <row r="5" spans="1:18" x14ac:dyDescent="0.25">
      <c r="A5">
        <v>2004</v>
      </c>
      <c r="B5">
        <v>981990900</v>
      </c>
      <c r="C5">
        <v>1082839500</v>
      </c>
      <c r="D5">
        <v>208305900</v>
      </c>
      <c r="E5" s="20">
        <v>242647</v>
      </c>
      <c r="F5" s="20">
        <v>319038</v>
      </c>
      <c r="G5" s="20">
        <f t="shared" ref="G5:G11" si="0">SUM(E5:F5)</f>
        <v>561685</v>
      </c>
      <c r="H5" s="20">
        <f t="shared" ref="H5:H11" si="1">G5/2.471</f>
        <v>227310.8053419668</v>
      </c>
      <c r="I5" s="20"/>
      <c r="J5" s="20">
        <f t="shared" ref="J5:J10" si="2">H5*$J$2</f>
        <v>400067.01740186149</v>
      </c>
      <c r="K5" s="20">
        <f t="shared" ref="K5:K11" si="3">H5*$M$4</f>
        <v>-11911.08619991906</v>
      </c>
      <c r="Q5">
        <f>Q4+1</f>
        <v>1991</v>
      </c>
      <c r="R5" s="20">
        <v>-11924.40356131121</v>
      </c>
    </row>
    <row r="6" spans="1:18" x14ac:dyDescent="0.25">
      <c r="A6">
        <v>2006</v>
      </c>
      <c r="B6">
        <v>992835900</v>
      </c>
      <c r="C6">
        <v>1065938400</v>
      </c>
      <c r="D6">
        <v>215772300</v>
      </c>
      <c r="E6" s="20">
        <v>245326</v>
      </c>
      <c r="F6" s="20">
        <v>316706</v>
      </c>
      <c r="G6" s="20">
        <f t="shared" si="0"/>
        <v>562032</v>
      </c>
      <c r="H6" s="20">
        <f t="shared" si="1"/>
        <v>227451.23431808985</v>
      </c>
      <c r="I6" s="20"/>
      <c r="J6" s="20">
        <f t="shared" si="2"/>
        <v>400314.17239983811</v>
      </c>
      <c r="K6" s="20">
        <f t="shared" si="3"/>
        <v>-11918.444678267908</v>
      </c>
      <c r="Q6">
        <f t="shared" ref="Q6:Q34" si="4">Q5+1</f>
        <v>1992</v>
      </c>
      <c r="R6" s="20">
        <v>-11924.40356131121</v>
      </c>
    </row>
    <row r="7" spans="1:18" x14ac:dyDescent="0.25">
      <c r="A7">
        <v>2008</v>
      </c>
      <c r="B7">
        <v>987281100</v>
      </c>
      <c r="C7">
        <v>1090665000</v>
      </c>
      <c r="D7">
        <v>188909100</v>
      </c>
      <c r="E7" s="20">
        <v>243954</v>
      </c>
      <c r="F7" s="20">
        <v>316178</v>
      </c>
      <c r="G7" s="20">
        <f t="shared" si="0"/>
        <v>560132</v>
      </c>
      <c r="H7" s="20">
        <f t="shared" si="1"/>
        <v>226682.31485228651</v>
      </c>
      <c r="I7" s="20"/>
      <c r="J7" s="20">
        <f t="shared" si="2"/>
        <v>398960.87414002419</v>
      </c>
      <c r="K7" s="20">
        <f t="shared" si="3"/>
        <v>-11878.153298259813</v>
      </c>
      <c r="Q7">
        <f t="shared" si="4"/>
        <v>1993</v>
      </c>
      <c r="R7" s="20">
        <v>-11924.40356131121</v>
      </c>
    </row>
    <row r="8" spans="1:18" x14ac:dyDescent="0.25">
      <c r="A8">
        <v>2011</v>
      </c>
      <c r="B8">
        <v>995283000</v>
      </c>
      <c r="C8">
        <v>1102116600</v>
      </c>
      <c r="D8">
        <v>169886700</v>
      </c>
      <c r="E8" s="20">
        <v>245931</v>
      </c>
      <c r="F8" s="20">
        <v>314308</v>
      </c>
      <c r="G8" s="20">
        <f t="shared" si="0"/>
        <v>560239</v>
      </c>
      <c r="H8" s="20">
        <f t="shared" si="1"/>
        <v>226725.61715904492</v>
      </c>
      <c r="I8" s="20"/>
      <c r="J8" s="20">
        <f t="shared" si="2"/>
        <v>399037.08619991899</v>
      </c>
      <c r="K8" s="20">
        <f t="shared" si="3"/>
        <v>-11880.422339133955</v>
      </c>
      <c r="Q8">
        <f t="shared" si="4"/>
        <v>1994</v>
      </c>
      <c r="R8" s="20">
        <v>-11924.40356131121</v>
      </c>
    </row>
    <row r="9" spans="1:18" x14ac:dyDescent="0.25">
      <c r="A9">
        <v>2013</v>
      </c>
      <c r="B9">
        <v>982744200</v>
      </c>
      <c r="C9">
        <v>1121474700</v>
      </c>
      <c r="D9">
        <v>164330100</v>
      </c>
      <c r="E9" s="20">
        <v>242833</v>
      </c>
      <c r="F9" s="20">
        <v>317718</v>
      </c>
      <c r="G9" s="20">
        <f t="shared" si="0"/>
        <v>560551</v>
      </c>
      <c r="H9" s="20">
        <f t="shared" si="1"/>
        <v>226851.88182921894</v>
      </c>
      <c r="I9" s="20"/>
      <c r="J9" s="20">
        <f t="shared" si="2"/>
        <v>399259.31201942527</v>
      </c>
      <c r="K9" s="20">
        <f t="shared" si="3"/>
        <v>-11887.038607851073</v>
      </c>
      <c r="Q9">
        <f t="shared" si="4"/>
        <v>1995</v>
      </c>
      <c r="R9" s="20">
        <v>-11924.40356131121</v>
      </c>
    </row>
    <row r="10" spans="1:18" x14ac:dyDescent="0.25">
      <c r="A10">
        <v>2016</v>
      </c>
      <c r="B10">
        <v>973156500</v>
      </c>
      <c r="C10">
        <v>1118541600</v>
      </c>
      <c r="D10">
        <v>181620000</v>
      </c>
      <c r="E10" s="20">
        <v>240464</v>
      </c>
      <c r="F10" s="20">
        <v>321266</v>
      </c>
      <c r="G10" s="20">
        <f t="shared" si="0"/>
        <v>561730</v>
      </c>
      <c r="H10" s="20">
        <f t="shared" si="1"/>
        <v>227329.01659247268</v>
      </c>
      <c r="I10" s="20"/>
      <c r="J10" s="20">
        <f t="shared" si="2"/>
        <v>400099.06920275185</v>
      </c>
      <c r="K10" s="20">
        <f t="shared" si="3"/>
        <v>-11912.040469445568</v>
      </c>
      <c r="Q10">
        <f t="shared" si="4"/>
        <v>1996</v>
      </c>
      <c r="R10" s="20">
        <v>-11924.40356131121</v>
      </c>
    </row>
    <row r="11" spans="1:18" x14ac:dyDescent="0.25">
      <c r="A11">
        <v>2019</v>
      </c>
      <c r="B11">
        <v>963529200</v>
      </c>
      <c r="C11">
        <v>1123159500</v>
      </c>
      <c r="D11">
        <v>186300900</v>
      </c>
      <c r="E11" s="20">
        <v>238085</v>
      </c>
      <c r="F11" s="20">
        <v>323563</v>
      </c>
      <c r="G11" s="20">
        <f t="shared" si="0"/>
        <v>561648</v>
      </c>
      <c r="H11" s="20">
        <f t="shared" si="1"/>
        <v>227295.83164710642</v>
      </c>
      <c r="I11" s="20"/>
      <c r="J11" s="20">
        <f>H11*$J$2</f>
        <v>400040.66369890724</v>
      </c>
      <c r="K11" s="20">
        <f t="shared" si="3"/>
        <v>-11910.301578308377</v>
      </c>
      <c r="Q11">
        <f t="shared" si="4"/>
        <v>1997</v>
      </c>
      <c r="R11" s="20">
        <v>-11924.40356131121</v>
      </c>
    </row>
    <row r="12" spans="1:18" x14ac:dyDescent="0.25">
      <c r="E12" s="28">
        <f>E11/E4</f>
        <v>0.97910883556432871</v>
      </c>
      <c r="F12" s="28">
        <f>F11/F4</f>
        <v>1.0138337072455412</v>
      </c>
      <c r="Q12">
        <f t="shared" si="4"/>
        <v>1998</v>
      </c>
      <c r="R12" s="20">
        <v>-11924.40356131121</v>
      </c>
    </row>
    <row r="13" spans="1:18" x14ac:dyDescent="0.25">
      <c r="A13" t="s">
        <v>89</v>
      </c>
      <c r="Q13">
        <f t="shared" si="4"/>
        <v>1999</v>
      </c>
      <c r="R13" s="20">
        <v>-11924.40356131121</v>
      </c>
    </row>
    <row r="14" spans="1:18" x14ac:dyDescent="0.25">
      <c r="A14" t="s">
        <v>73</v>
      </c>
      <c r="H14" t="s">
        <v>90</v>
      </c>
      <c r="Q14">
        <f t="shared" si="4"/>
        <v>2000</v>
      </c>
      <c r="R14" s="20">
        <v>-11924.40356131121</v>
      </c>
    </row>
    <row r="15" spans="1:18" x14ac:dyDescent="0.25">
      <c r="A15">
        <v>2001</v>
      </c>
      <c r="H15" s="20">
        <f>(H5-H4)/3</f>
        <v>-84.716039390264385</v>
      </c>
      <c r="I15">
        <v>2001</v>
      </c>
      <c r="Q15">
        <f t="shared" si="4"/>
        <v>2001</v>
      </c>
      <c r="R15" s="20">
        <v>-11924.40356131121</v>
      </c>
    </row>
    <row r="16" spans="1:18" x14ac:dyDescent="0.25">
      <c r="A16">
        <v>2004</v>
      </c>
      <c r="H16" s="20">
        <f>(H6-H5)/2</f>
        <v>70.214488061523298</v>
      </c>
      <c r="Q16">
        <f t="shared" si="4"/>
        <v>2002</v>
      </c>
      <c r="R16" s="20">
        <v>-11920</v>
      </c>
    </row>
    <row r="17" spans="1:18" x14ac:dyDescent="0.25">
      <c r="A17">
        <v>2006</v>
      </c>
      <c r="H17" s="20">
        <f>(H7-H6)/2</f>
        <v>-384.45973290166876</v>
      </c>
      <c r="Q17">
        <f t="shared" si="4"/>
        <v>2003</v>
      </c>
      <c r="R17" s="20">
        <v>-11915</v>
      </c>
    </row>
    <row r="18" spans="1:18" x14ac:dyDescent="0.25">
      <c r="A18">
        <v>2008</v>
      </c>
      <c r="H18" s="20">
        <f>(H8-H7)/3</f>
        <v>14.434102252804829</v>
      </c>
      <c r="Q18">
        <f t="shared" si="4"/>
        <v>2004</v>
      </c>
      <c r="R18" s="20">
        <v>-11911.08619991906</v>
      </c>
    </row>
    <row r="19" spans="1:18" x14ac:dyDescent="0.25">
      <c r="A19">
        <v>2011</v>
      </c>
      <c r="H19" s="20">
        <f>(H9-H8)/2</f>
        <v>63.132335087007959</v>
      </c>
      <c r="Q19">
        <f t="shared" si="4"/>
        <v>2005</v>
      </c>
      <c r="R19" s="20">
        <f>-11914</f>
        <v>-11914</v>
      </c>
    </row>
    <row r="20" spans="1:18" x14ac:dyDescent="0.25">
      <c r="A20">
        <v>2013</v>
      </c>
      <c r="H20" s="20">
        <f>(H10-H9)/3</f>
        <v>159.04492108457876</v>
      </c>
      <c r="Q20">
        <f t="shared" si="4"/>
        <v>2006</v>
      </c>
      <c r="R20" s="20">
        <v>-11918.444678267908</v>
      </c>
    </row>
    <row r="21" spans="1:18" x14ac:dyDescent="0.25">
      <c r="A21">
        <v>2016</v>
      </c>
      <c r="H21" s="20">
        <f>(H11-H10)/3</f>
        <v>-11.061648455419345</v>
      </c>
      <c r="Q21">
        <f t="shared" si="4"/>
        <v>2007</v>
      </c>
      <c r="R21" s="20">
        <v>-11900</v>
      </c>
    </row>
    <row r="22" spans="1:18" x14ac:dyDescent="0.25">
      <c r="A22">
        <v>2019</v>
      </c>
      <c r="H22" s="20"/>
      <c r="Q22">
        <f t="shared" si="4"/>
        <v>2008</v>
      </c>
      <c r="R22" s="20">
        <v>-11878.153298259813</v>
      </c>
    </row>
    <row r="23" spans="1:18" x14ac:dyDescent="0.25">
      <c r="Q23">
        <f t="shared" si="4"/>
        <v>2009</v>
      </c>
      <c r="R23" s="20">
        <v>-11878.5</v>
      </c>
    </row>
    <row r="24" spans="1:18" x14ac:dyDescent="0.25">
      <c r="Q24">
        <f t="shared" si="4"/>
        <v>2010</v>
      </c>
      <c r="R24" s="20">
        <v>-11879</v>
      </c>
    </row>
    <row r="25" spans="1:18" x14ac:dyDescent="0.25">
      <c r="Q25">
        <f t="shared" si="4"/>
        <v>2011</v>
      </c>
      <c r="R25" s="20">
        <v>-11880.422339133955</v>
      </c>
    </row>
    <row r="26" spans="1:18" x14ac:dyDescent="0.25">
      <c r="Q26">
        <f t="shared" si="4"/>
        <v>2012</v>
      </c>
      <c r="R26" s="20">
        <v>-11884</v>
      </c>
    </row>
    <row r="27" spans="1:18" x14ac:dyDescent="0.25">
      <c r="Q27">
        <f t="shared" si="4"/>
        <v>2013</v>
      </c>
      <c r="R27" s="20">
        <v>-11887.038607851073</v>
      </c>
    </row>
    <row r="28" spans="1:18" x14ac:dyDescent="0.25">
      <c r="Q28">
        <f t="shared" si="4"/>
        <v>2014</v>
      </c>
      <c r="R28" s="20">
        <v>-11900</v>
      </c>
    </row>
    <row r="29" spans="1:18" x14ac:dyDescent="0.25">
      <c r="Q29">
        <f t="shared" si="4"/>
        <v>2015</v>
      </c>
      <c r="R29" s="20">
        <v>-11905</v>
      </c>
    </row>
    <row r="30" spans="1:18" x14ac:dyDescent="0.25">
      <c r="Q30">
        <f t="shared" si="4"/>
        <v>2016</v>
      </c>
      <c r="R30" s="20">
        <v>-11912.040469445568</v>
      </c>
    </row>
    <row r="31" spans="1:18" x14ac:dyDescent="0.25">
      <c r="Q31">
        <f t="shared" si="4"/>
        <v>2017</v>
      </c>
      <c r="R31" s="20">
        <v>-11911</v>
      </c>
    </row>
    <row r="32" spans="1:18" x14ac:dyDescent="0.25">
      <c r="Q32">
        <f t="shared" si="4"/>
        <v>2018</v>
      </c>
      <c r="R32" s="20">
        <v>-11911</v>
      </c>
    </row>
    <row r="33" spans="17:18" x14ac:dyDescent="0.25">
      <c r="Q33">
        <f t="shared" si="4"/>
        <v>2019</v>
      </c>
      <c r="R33" s="20">
        <v>-11910.301578308377</v>
      </c>
    </row>
    <row r="34" spans="17:18" x14ac:dyDescent="0.25">
      <c r="Q34">
        <f t="shared" si="4"/>
        <v>2020</v>
      </c>
      <c r="R34" s="20">
        <v>-11910.301578308377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Carbon Storage</vt:lpstr>
      <vt:lpstr>Carbon fluxes</vt:lpstr>
      <vt:lpstr>Wetlands and Water bodies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Gillian L. Galford</dc:creator>
  <cp:lastModifiedBy>Gillian L. Galford</cp:lastModifiedBy>
  <dcterms:created xsi:type="dcterms:W3CDTF">2015-06-05T18:17:20Z</dcterms:created>
  <dcterms:modified xsi:type="dcterms:W3CDTF">2021-09-17T17:41:44Z</dcterms:modified>
</cp:coreProperties>
</file>