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9"/>
  <workbookPr defaultThemeVersion="166925"/>
  <mc:AlternateContent xmlns:mc="http://schemas.openxmlformats.org/markup-compatibility/2006">
    <mc:Choice Requires="x15">
      <x15ac:absPath xmlns:x15ac="http://schemas.microsoft.com/office/spreadsheetml/2010/11/ac" url="/Users/dbhguru/Desktop/VOLUMES-TRUNK&amp;LIMBS/"/>
    </mc:Choice>
  </mc:AlternateContent>
  <xr:revisionPtr revIDLastSave="0" documentId="13_ncr:1_{7496D337-1C6E-1B42-ABD8-2370B5722EFC}" xr6:coauthVersionLast="36" xr6:coauthVersionMax="36" xr10:uidLastSave="{00000000-0000-0000-0000-000000000000}"/>
  <bookViews>
    <workbookView xWindow="4100" yWindow="460" windowWidth="41500" windowHeight="26380" activeTab="3" xr2:uid="{89AA59F0-B0F7-6846-92DB-F39F8F3AE6FD}"/>
  </bookViews>
  <sheets>
    <sheet name="BioMass" sheetId="3" r:id="rId1"/>
    <sheet name="Coeff_1" sheetId="1" r:id="rId2"/>
    <sheet name="Coeff_2" sheetId="2" r:id="rId3"/>
    <sheet name="Sheet1" sheetId="4"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8" i="3" l="1"/>
  <c r="N31" i="3"/>
  <c r="I2" i="2" l="1"/>
  <c r="L9" i="4"/>
  <c r="J9" i="4"/>
  <c r="N5" i="4"/>
  <c r="Q5" i="4" s="1"/>
  <c r="G2" i="3" l="1"/>
  <c r="I2" i="3" l="1"/>
  <c r="M2" i="2"/>
  <c r="T2" i="2"/>
  <c r="K2" i="2"/>
  <c r="J2" i="2"/>
  <c r="Q2" i="2" l="1"/>
  <c r="O2" i="2"/>
  <c r="S2" i="2"/>
  <c r="V2" i="2" s="1"/>
  <c r="L2" i="2"/>
  <c r="R2" i="2" s="1"/>
  <c r="K2" i="3"/>
  <c r="L2" i="3" s="1"/>
  <c r="N2" i="2"/>
  <c r="P2" i="2" s="1"/>
  <c r="Y2" i="2" l="1"/>
  <c r="U2" i="2"/>
  <c r="W2" i="2" s="1"/>
  <c r="H42" i="3"/>
  <c r="J42" i="3"/>
  <c r="X2" i="2" l="1"/>
  <c r="M2" i="3" s="1"/>
  <c r="N2" i="3"/>
  <c r="K42" i="3"/>
  <c r="O2" i="3" l="1"/>
  <c r="I10" i="3"/>
  <c r="M12" i="3" l="1"/>
  <c r="M11" i="3"/>
  <c r="N12" i="3" l="1"/>
  <c r="M20" i="3" s="1"/>
  <c r="N11" i="3"/>
  <c r="M16" i="3" s="1"/>
  <c r="K6" i="3"/>
  <c r="L25" i="3" s="1"/>
  <c r="L16" i="3" l="1"/>
  <c r="N16" i="3" s="1"/>
  <c r="G10" i="3"/>
  <c r="H10" i="3" s="1"/>
  <c r="K10" i="3" s="1"/>
  <c r="K4" i="3"/>
  <c r="M25" i="3" l="1"/>
  <c r="N25" i="3" s="1"/>
  <c r="L20" i="3"/>
  <c r="K5" i="3"/>
  <c r="N20" i="3" l="1"/>
  <c r="N22" i="3" s="1"/>
  <c r="N27" i="3" s="1"/>
  <c r="L37" i="3"/>
  <c r="K7" i="3"/>
  <c r="P2" i="3" s="1"/>
  <c r="AB2" i="3" l="1"/>
  <c r="AC2" i="3"/>
  <c r="O5" i="3" l="1"/>
  <c r="N29" i="3" s="1"/>
  <c r="O4" i="3"/>
  <c r="N34" i="3" l="1"/>
  <c r="N35" i="3" s="1"/>
  <c r="N36" i="3"/>
  <c r="K11" i="3" s="1"/>
</calcChain>
</file>

<file path=xl/sharedStrings.xml><?xml version="1.0" encoding="utf-8"?>
<sst xmlns="http://schemas.openxmlformats.org/spreadsheetml/2006/main" count="179" uniqueCount="152">
  <si>
    <t>X</t>
  </si>
  <si>
    <t>E</t>
  </si>
  <si>
    <t>NIMS_2_1</t>
  </si>
  <si>
    <t>333</t>
  </si>
  <si>
    <t>CULL                   (%)</t>
  </si>
  <si>
    <r>
      <t>VOLCFSND            (feet</t>
    </r>
    <r>
      <rPr>
        <b/>
        <vertAlign val="superscript"/>
        <sz val="10"/>
        <rFont val="Arial"/>
        <family val="2"/>
      </rPr>
      <t>3</t>
    </r>
    <r>
      <rPr>
        <b/>
        <sz val="10"/>
        <rFont val="Arial"/>
        <family val="2"/>
      </rPr>
      <t>)</t>
    </r>
  </si>
  <si>
    <t>DRYBIO_BOLE           (lbs)</t>
  </si>
  <si>
    <t>DRYBIO_TOP               (lbs)</t>
  </si>
  <si>
    <t>DRYBIO_STUMP                              (lbs)</t>
  </si>
  <si>
    <t>DRYBIOT               (lbs)</t>
  </si>
  <si>
    <t>FF</t>
  </si>
  <si>
    <t>DBH -outside bark (inch)</t>
  </si>
  <si>
    <r>
      <t>VOLCFGRS - inside bark            (feet</t>
    </r>
    <r>
      <rPr>
        <b/>
        <vertAlign val="superscript"/>
        <sz val="10"/>
        <rFont val="Arial"/>
        <family val="2"/>
      </rPr>
      <t>3</t>
    </r>
    <r>
      <rPr>
        <b/>
        <sz val="10"/>
        <rFont val="Arial"/>
        <family val="2"/>
      </rPr>
      <t>)</t>
    </r>
  </si>
  <si>
    <t>Bark Vol</t>
  </si>
  <si>
    <t>Stump Vol</t>
  </si>
  <si>
    <t>NTS  Trunk Vol</t>
  </si>
  <si>
    <t>DBH-ft</t>
  </si>
  <si>
    <t>Area-ft^2</t>
  </si>
  <si>
    <t>Hgt</t>
  </si>
  <si>
    <t>VOL-ft^3</t>
  </si>
  <si>
    <t>D1</t>
  </si>
  <si>
    <t>R1</t>
  </si>
  <si>
    <t>Vol</t>
  </si>
  <si>
    <t>Bole Vol (incl bark)</t>
  </si>
  <si>
    <t>Bole Mass</t>
  </si>
  <si>
    <t>Stem Density</t>
  </si>
  <si>
    <t>Stem Mass</t>
  </si>
  <si>
    <t>Bark Density</t>
  </si>
  <si>
    <t>Bark Mass</t>
  </si>
  <si>
    <t>Stump Mass</t>
  </si>
  <si>
    <t>Bole &amp; Stump Mass</t>
  </si>
  <si>
    <t>Stem Vol</t>
  </si>
  <si>
    <t xml:space="preserve">   </t>
  </si>
  <si>
    <t>SPCD</t>
  </si>
  <si>
    <t>COMMON_NAME</t>
  </si>
  <si>
    <t>GENUS</t>
  </si>
  <si>
    <t>SPECIES</t>
  </si>
  <si>
    <t>VARIETY</t>
  </si>
  <si>
    <t>SUBSPECIES</t>
  </si>
  <si>
    <t>SPECIES_SYMBOL</t>
  </si>
  <si>
    <t>E_SPGRPCD</t>
  </si>
  <si>
    <t>W_SPGRPCD</t>
  </si>
  <si>
    <t>MAJOR_SPGRPCD</t>
  </si>
  <si>
    <t>STOCKING_SPGRPCD</t>
  </si>
  <si>
    <t>FOREST_TYPE_SPGRPCD</t>
  </si>
  <si>
    <t>EXISTS_IN_NCRS</t>
  </si>
  <si>
    <t>EXISTS_IN_NERS</t>
  </si>
  <si>
    <t>EXISTS_IN_PNWRS</t>
  </si>
  <si>
    <t>EXISTS_IN_RMRS</t>
  </si>
  <si>
    <t>EXISTS_IN_SRS</t>
  </si>
  <si>
    <t>SITETREE</t>
  </si>
  <si>
    <t>SFTWD_HRDWD</t>
  </si>
  <si>
    <t>ST_EXISTS_IN_NCRS</t>
  </si>
  <si>
    <t>ST_EXISTS_IN_NERS</t>
  </si>
  <si>
    <t>ST_EXISTS_IN_PNWRS</t>
  </si>
  <si>
    <t>ST_EXISTS_IN_RMRS</t>
  </si>
  <si>
    <t>ST_EXISTS_IN_SRS</t>
  </si>
  <si>
    <t>EAST</t>
  </si>
  <si>
    <t>WEST</t>
  </si>
  <si>
    <t>WOODLAND</t>
  </si>
  <si>
    <t>MANUAL_START</t>
  </si>
  <si>
    <t>MANUAL_END</t>
  </si>
  <si>
    <t>CREATED_BY</t>
  </si>
  <si>
    <t>CREATED_DATE</t>
  </si>
  <si>
    <t>CREATED_IN_INSTANCE</t>
  </si>
  <si>
    <t>MODIFIED_BY</t>
  </si>
  <si>
    <t>MODIFIED_DATE</t>
  </si>
  <si>
    <t>MODIFIED_IN_INSTANCE</t>
  </si>
  <si>
    <t>CORE</t>
  </si>
  <si>
    <t>JENKINS_SPGRPCD</t>
  </si>
  <si>
    <t>JENKINS_TOTAL_B1</t>
  </si>
  <si>
    <t>JENKINS_TOTAL_B2</t>
  </si>
  <si>
    <t>JENKINS_STEM_WOOD_RATIO_B1</t>
  </si>
  <si>
    <t>JENKINS_STEM_WOOD_RATIO_B2</t>
  </si>
  <si>
    <t>JENKINS_STEM_BARK_RATIO_B1</t>
  </si>
  <si>
    <t>JENKINS_STEM_BARK_RATIO_B2</t>
  </si>
  <si>
    <t>JENKINS_FOLIAGE_RATIO_B1</t>
  </si>
  <si>
    <t>JENKINS_FOLIAGE_RATIO_B2</t>
  </si>
  <si>
    <t>JENKINS_ROOT_RATIO_B1</t>
  </si>
  <si>
    <t>JENKINS_ROOT_RATIO_B2</t>
  </si>
  <si>
    <t>JENKINS_SAPLING_ADJUSTMENT</t>
  </si>
  <si>
    <t>WOOD_SPGR_GREENVOL_DRYWT</t>
  </si>
  <si>
    <t>WOOD_SPGR_GREENVOL_DRYWT_CIT</t>
  </si>
  <si>
    <t>BARK_SPGR_GREENVOL_DRYWT</t>
  </si>
  <si>
    <t>BARK_SPGR_GREENVOL_DRYWT_CIT</t>
  </si>
  <si>
    <t>MC_PCT_GREEN_WOOD</t>
  </si>
  <si>
    <t>MC_PCT_GREEN_WOOD_CIT</t>
  </si>
  <si>
    <t>MC_PCT_GREEN_BARK</t>
  </si>
  <si>
    <t>MC_PCT_GREEN_BARK_CIT</t>
  </si>
  <si>
    <t>WOOD_SPGR_MC12VOL_DRYWT</t>
  </si>
  <si>
    <t>WOOD_SPGR_MC12VOL_DRYWT_CIT</t>
  </si>
  <si>
    <t>BARK_VOL_PCT</t>
  </si>
  <si>
    <t>BARK_VOL_PCT_CIT</t>
  </si>
  <si>
    <t>RAILE_STUMP_DOB_B1</t>
  </si>
  <si>
    <t>RAILE_STUMP_DIB_B1</t>
  </si>
  <si>
    <t>RAILE_STUMP_DIB_B2</t>
  </si>
  <si>
    <t>b (slope)</t>
  </si>
  <si>
    <t>stem_ratio</t>
  </si>
  <si>
    <t>bark_ratio</t>
  </si>
  <si>
    <t>foliage_ratio</t>
  </si>
  <si>
    <t>root_ratio</t>
  </si>
  <si>
    <t>Total_AG_biomass_Jenkins</t>
  </si>
  <si>
    <t>Stem_biomass_Jenkins</t>
  </si>
  <si>
    <t>Bark_biomass_Jenkins</t>
  </si>
  <si>
    <t>Bole_biomass_Jenkins</t>
  </si>
  <si>
    <t>Foliage_biomass_Jenkins</t>
  </si>
  <si>
    <t>Root_biomass_Jenkins</t>
  </si>
  <si>
    <t>Stump_vol_DIB</t>
  </si>
  <si>
    <t>Stump_vol_DOB</t>
  </si>
  <si>
    <t>Stump_Bark_biomass</t>
  </si>
  <si>
    <t>Stump_Wood_biomass</t>
  </si>
  <si>
    <t>Stump_Biomass</t>
  </si>
  <si>
    <t>Top_biomass_Jenkins</t>
  </si>
  <si>
    <t>AdjFac</t>
  </si>
  <si>
    <t>0.005454153*(BioMass!G2^2)*(1+(5.62462*Coeff_1!BJ2)+(8.50038*(Coeff_1!BJ2^2)))</t>
  </si>
  <si>
    <t>Stump Vol -OB</t>
  </si>
  <si>
    <t>Cir at base</t>
  </si>
  <si>
    <t>Radius at base</t>
  </si>
  <si>
    <t>DRYBIOT               (lbs) less foliage</t>
  </si>
  <si>
    <t>Foliage biomass</t>
  </si>
  <si>
    <t>Foliage  Mass</t>
  </si>
  <si>
    <t>Top biomass</t>
  </si>
  <si>
    <t>Tot  Biomass</t>
  </si>
  <si>
    <t>Top/Tot</t>
  </si>
  <si>
    <t>Top/(bole+stump)</t>
  </si>
  <si>
    <t>Stump Density</t>
  </si>
  <si>
    <t>Height  (feet)</t>
  </si>
  <si>
    <t>Enter data in green cells</t>
  </si>
  <si>
    <t>Wood Specific Gravity</t>
  </si>
  <si>
    <t>Bark Specific Gravity</t>
  </si>
  <si>
    <t>Wood density-lbs/ft^3</t>
  </si>
  <si>
    <t>Bark density-lbs/ft^3</t>
  </si>
  <si>
    <t>NTS Trunk &amp; Top Vol</t>
  </si>
  <si>
    <t>Estimated Stump Vol NTS</t>
  </si>
  <si>
    <t>Tot FIA Trunk Vol -ft^3</t>
  </si>
  <si>
    <t>FIA Components</t>
  </si>
  <si>
    <t>Tot Volume Bole &amp; Stump</t>
  </si>
  <si>
    <t>H</t>
  </si>
  <si>
    <t>Y</t>
  </si>
  <si>
    <t>351</t>
  </si>
  <si>
    <t>northern red oak</t>
  </si>
  <si>
    <t>Quercus</t>
  </si>
  <si>
    <t>rubra</t>
  </si>
  <si>
    <t>QURU</t>
  </si>
  <si>
    <t>NIMS_3_0</t>
  </si>
  <si>
    <t>'=(EXP('coeff 1'!AM149+('coeff 1'!AN149*(LN(BIOMASS!G149*2.54)))))*2.2046</t>
  </si>
  <si>
    <t>DBH-outside bark</t>
  </si>
  <si>
    <t>=(EXP(I5+(L5*(LN(N5*2.54)))))*2.2046</t>
  </si>
  <si>
    <t>Total_AG_biomass_Jenkins formula</t>
  </si>
  <si>
    <t>Stem Ratio</t>
  </si>
  <si>
    <t>=EXP(Coeff_1!AO2+(Coeff_1!AP2/(BioMass!G2*2.54)))</t>
  </si>
  <si>
    <t>Tot Vol Top, Bole &amp; Stump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</si>
</sst>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0000"/>
    <numFmt numFmtId="165" formatCode="0.0"/>
    <numFmt numFmtId="166" formatCode="m/d/yyyy\ h:mm:ss\ AM/PM"/>
    <numFmt numFmtId="167" formatCode="0.00000"/>
    <numFmt numFmtId="168" formatCode="0.0000"/>
    <numFmt numFmtId="169" formatCode="0.000"/>
    <numFmt numFmtId="170" formatCode="0.000000"/>
    <numFmt numFmtId="171" formatCode="#,##0.00000"/>
    <numFmt numFmtId="172" formatCode="0.000000000000"/>
    <numFmt numFmtId="173" formatCode="#,##0.0000"/>
  </numFmts>
  <fonts count="20">
    <font>
      <sz val="12"/>
      <color theme="1"/>
      <name val="Calibri"/>
      <family val="2"/>
      <scheme val="minor"/>
    </font>
    <font>
      <sz val="10"/>
      <name val="Arial"/>
      <family val="2"/>
    </font>
    <font>
      <sz val="10"/>
      <color rgb="FFFF0000"/>
      <name val="Arial"/>
      <family val="2"/>
    </font>
    <font>
      <b/>
      <sz val="12"/>
      <color theme="1"/>
      <name val="Calibri"/>
      <family val="2"/>
      <scheme val="minor"/>
    </font>
    <font>
      <sz val="10"/>
      <color indexed="8"/>
      <name val="Arial"/>
      <family val="2"/>
    </font>
    <font>
      <sz val="16"/>
      <color rgb="FFFF0000"/>
      <name val="Arial"/>
      <family val="2"/>
    </font>
    <font>
      <b/>
      <sz val="10"/>
      <name val="Arial"/>
      <family val="2"/>
    </font>
    <font>
      <b/>
      <vertAlign val="superscript"/>
      <sz val="10"/>
      <name val="Arial"/>
      <family val="2"/>
    </font>
    <font>
      <b/>
      <sz val="16"/>
      <color theme="1"/>
      <name val="Calibri"/>
      <family val="2"/>
      <scheme val="minor"/>
    </font>
    <font>
      <b/>
      <sz val="10"/>
      <color indexed="8"/>
      <name val="Microsoft Sans Serif"/>
      <family val="2"/>
    </font>
    <font>
      <sz val="14"/>
      <color theme="1"/>
      <name val="Calibri"/>
      <family val="2"/>
      <scheme val="minor"/>
    </font>
    <font>
      <sz val="16"/>
      <color theme="1"/>
      <name val="Arial"/>
      <family val="2"/>
    </font>
    <font>
      <b/>
      <sz val="18"/>
      <color theme="1"/>
      <name val="Calibri"/>
      <family val="2"/>
      <scheme val="minor"/>
    </font>
    <font>
      <b/>
      <sz val="14"/>
      <color theme="1"/>
      <name val="Calibri"/>
      <family val="2"/>
      <scheme val="minor"/>
    </font>
    <font>
      <b/>
      <sz val="16"/>
      <color rgb="FFFF0000"/>
      <name val="Calibri"/>
      <family val="2"/>
      <scheme val="minor"/>
    </font>
    <font>
      <sz val="12"/>
      <color rgb="FFFF0000"/>
      <name val="Calibri"/>
      <family val="2"/>
      <scheme val="minor"/>
    </font>
    <font>
      <sz val="16"/>
      <color rgb="FFFF0000"/>
      <name val="Microsoft Sans Serif"/>
      <family val="2"/>
    </font>
    <font>
      <sz val="14"/>
      <color rgb="FFFF0000"/>
      <name val="Microsoft Sans Serif"/>
      <family val="2"/>
    </font>
    <font>
      <sz val="14"/>
      <color rgb="FFFF0000"/>
      <name val="Arial"/>
      <family val="2"/>
    </font>
    <font>
      <sz val="10"/>
      <color indexed="8"/>
      <name val="Microsoft Sans Serif"/>
      <family val="2"/>
    </font>
  </fonts>
  <fills count="11">
    <fill>
      <patternFill patternType="none"/>
    </fill>
    <fill>
      <patternFill patternType="gray125"/>
    </fill>
    <fill>
      <patternFill patternType="solid">
        <fgColor indexed="22"/>
        <bgColor indexed="31"/>
      </patternFill>
    </fill>
    <fill>
      <patternFill patternType="solid">
        <fgColor indexed="15"/>
        <bgColor indexed="35"/>
      </patternFill>
    </fill>
    <fill>
      <patternFill patternType="solid">
        <fgColor theme="5" tint="0.79998168889431442"/>
        <bgColor indexed="64"/>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79998168889431442"/>
        <bgColor indexed="22"/>
      </patternFill>
    </fill>
    <fill>
      <patternFill patternType="solid">
        <fgColor theme="5" tint="0.79998168889431442"/>
        <bgColor indexed="35"/>
      </patternFill>
    </fill>
    <fill>
      <patternFill patternType="solid">
        <fgColor theme="5" tint="0.79998168889431442"/>
        <bgColor indexed="31"/>
      </patternFill>
    </fill>
    <fill>
      <patternFill patternType="solid">
        <fgColor rgb="FF92D050"/>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0" fontId="1" fillId="0" borderId="0"/>
    <xf numFmtId="0" fontId="4" fillId="0" borderId="0"/>
  </cellStyleXfs>
  <cellXfs count="101">
    <xf numFmtId="0" fontId="0" fillId="0" borderId="0" xfId="0"/>
    <xf numFmtId="164" fontId="2" fillId="2" borderId="0" xfId="1" applyNumberFormat="1" applyFont="1" applyFill="1"/>
    <xf numFmtId="0" fontId="0" fillId="0" borderId="0" xfId="0" quotePrefix="1"/>
    <xf numFmtId="0" fontId="5" fillId="0" borderId="0" xfId="1" applyFont="1" applyFill="1"/>
    <xf numFmtId="0" fontId="4" fillId="0" borderId="0" xfId="2" applyFill="1"/>
    <xf numFmtId="0" fontId="9" fillId="3" borderId="0" xfId="2" applyNumberFormat="1" applyFont="1" applyFill="1"/>
    <xf numFmtId="0" fontId="9" fillId="3" borderId="0" xfId="2" applyNumberFormat="1" applyFont="1" applyFill="1" applyAlignment="1">
      <alignment horizontal="center"/>
    </xf>
    <xf numFmtId="0" fontId="6" fillId="3" borderId="0" xfId="1" applyFont="1" applyFill="1" applyAlignment="1">
      <alignment horizontal="center"/>
    </xf>
    <xf numFmtId="168" fontId="6" fillId="3" borderId="0" xfId="1" applyNumberFormat="1" applyFont="1" applyFill="1" applyAlignment="1">
      <alignment horizontal="center"/>
    </xf>
    <xf numFmtId="169" fontId="6" fillId="3" borderId="0" xfId="1" applyNumberFormat="1" applyFont="1" applyFill="1" applyAlignment="1">
      <alignment horizontal="center"/>
    </xf>
    <xf numFmtId="0" fontId="6" fillId="0" borderId="0" xfId="1" applyFont="1" applyFill="1" applyAlignment="1">
      <alignment horizontal="center"/>
    </xf>
    <xf numFmtId="0" fontId="0" fillId="4" borderId="4" xfId="0" applyFill="1" applyBorder="1"/>
    <xf numFmtId="0" fontId="8" fillId="4" borderId="6" xfId="0" applyFont="1" applyFill="1" applyBorder="1"/>
    <xf numFmtId="0" fontId="0" fillId="4" borderId="7" xfId="0" applyFill="1" applyBorder="1"/>
    <xf numFmtId="0" fontId="8" fillId="4" borderId="8" xfId="0" applyFont="1" applyFill="1" applyBorder="1"/>
    <xf numFmtId="0" fontId="0" fillId="4" borderId="1" xfId="0" applyFill="1" applyBorder="1"/>
    <xf numFmtId="0" fontId="8" fillId="4" borderId="14" xfId="0" applyFont="1" applyFill="1" applyBorder="1"/>
    <xf numFmtId="0" fontId="8" fillId="4" borderId="1" xfId="0" applyFont="1" applyFill="1" applyBorder="1" applyAlignment="1">
      <alignment horizontal="right"/>
    </xf>
    <xf numFmtId="0" fontId="8" fillId="4" borderId="3" xfId="0" applyFont="1" applyFill="1" applyBorder="1" applyAlignment="1">
      <alignment horizontal="right"/>
    </xf>
    <xf numFmtId="0" fontId="10" fillId="4" borderId="8" xfId="0" applyFont="1" applyFill="1" applyBorder="1"/>
    <xf numFmtId="0" fontId="10" fillId="4" borderId="14" xfId="0" applyFont="1" applyFill="1" applyBorder="1"/>
    <xf numFmtId="0" fontId="10" fillId="4" borderId="1" xfId="0" applyFont="1" applyFill="1" applyBorder="1"/>
    <xf numFmtId="0" fontId="10" fillId="4" borderId="3" xfId="0" applyFont="1" applyFill="1" applyBorder="1"/>
    <xf numFmtId="0" fontId="3" fillId="4" borderId="18" xfId="0" applyFont="1" applyFill="1" applyBorder="1" applyAlignment="1">
      <alignment horizontal="right"/>
    </xf>
    <xf numFmtId="0" fontId="3" fillId="4" borderId="19" xfId="0" applyFont="1" applyFill="1" applyBorder="1" applyAlignment="1">
      <alignment horizontal="right"/>
    </xf>
    <xf numFmtId="0" fontId="3" fillId="4" borderId="20" xfId="0" applyFont="1" applyFill="1" applyBorder="1" applyAlignment="1">
      <alignment horizontal="right"/>
    </xf>
    <xf numFmtId="165" fontId="0" fillId="4" borderId="15" xfId="0" applyNumberFormat="1" applyFill="1" applyBorder="1" applyAlignment="1">
      <alignment horizontal="right"/>
    </xf>
    <xf numFmtId="0" fontId="0" fillId="4" borderId="16" xfId="0" applyFill="1" applyBorder="1" applyAlignment="1">
      <alignment horizontal="right"/>
    </xf>
    <xf numFmtId="0" fontId="0" fillId="4" borderId="17" xfId="0" applyFill="1" applyBorder="1" applyAlignment="1">
      <alignment horizontal="right"/>
    </xf>
    <xf numFmtId="0" fontId="0" fillId="4" borderId="9" xfId="0" applyFill="1" applyBorder="1" applyAlignment="1">
      <alignment horizontal="right"/>
    </xf>
    <xf numFmtId="0" fontId="0" fillId="4" borderId="5" xfId="0" applyFill="1" applyBorder="1" applyAlignment="1">
      <alignment horizontal="right"/>
    </xf>
    <xf numFmtId="0" fontId="0" fillId="4" borderId="10" xfId="0" applyFill="1" applyBorder="1" applyAlignment="1">
      <alignment horizontal="right"/>
    </xf>
    <xf numFmtId="4" fontId="0" fillId="4" borderId="9" xfId="0" applyNumberFormat="1" applyFill="1" applyBorder="1" applyAlignment="1">
      <alignment horizontal="right"/>
    </xf>
    <xf numFmtId="0" fontId="0" fillId="4" borderId="5" xfId="0" quotePrefix="1" applyFill="1" applyBorder="1" applyAlignment="1">
      <alignment horizontal="right"/>
    </xf>
    <xf numFmtId="0" fontId="0" fillId="4" borderId="21" xfId="0" applyFill="1" applyBorder="1" applyAlignment="1">
      <alignment horizontal="right"/>
    </xf>
    <xf numFmtId="0" fontId="0" fillId="4" borderId="22" xfId="0" applyFill="1" applyBorder="1" applyAlignment="1">
      <alignment horizontal="right"/>
    </xf>
    <xf numFmtId="0" fontId="0" fillId="4" borderId="23" xfId="0" applyFill="1" applyBorder="1" applyAlignment="1">
      <alignment horizontal="right"/>
    </xf>
    <xf numFmtId="4" fontId="0" fillId="4" borderId="15" xfId="0" applyNumberFormat="1" applyFill="1" applyBorder="1" applyAlignment="1">
      <alignment horizontal="right"/>
    </xf>
    <xf numFmtId="4" fontId="0" fillId="4" borderId="17" xfId="0" applyNumberFormat="1" applyFill="1" applyBorder="1" applyAlignment="1">
      <alignment horizontal="right"/>
    </xf>
    <xf numFmtId="0" fontId="0" fillId="4" borderId="24" xfId="0" applyFill="1" applyBorder="1" applyAlignment="1">
      <alignment horizontal="right"/>
    </xf>
    <xf numFmtId="0" fontId="0" fillId="4" borderId="25" xfId="0" applyFill="1" applyBorder="1" applyAlignment="1">
      <alignment horizontal="right"/>
    </xf>
    <xf numFmtId="0" fontId="0" fillId="4" borderId="26" xfId="0" applyFill="1" applyBorder="1" applyAlignment="1">
      <alignment horizontal="right"/>
    </xf>
    <xf numFmtId="0" fontId="0" fillId="4" borderId="15" xfId="0" applyFill="1" applyBorder="1" applyAlignment="1">
      <alignment horizontal="right"/>
    </xf>
    <xf numFmtId="0" fontId="3" fillId="4" borderId="2" xfId="0" applyFont="1" applyFill="1" applyBorder="1"/>
    <xf numFmtId="0" fontId="0" fillId="4" borderId="3" xfId="0" applyFill="1" applyBorder="1"/>
    <xf numFmtId="0" fontId="8" fillId="4" borderId="2" xfId="0" applyFont="1" applyFill="1" applyBorder="1" applyAlignment="1">
      <alignment horizontal="right"/>
    </xf>
    <xf numFmtId="0" fontId="3" fillId="4" borderId="4" xfId="0" applyFont="1" applyFill="1" applyBorder="1"/>
    <xf numFmtId="0" fontId="3" fillId="4" borderId="3" xfId="0" applyFont="1" applyFill="1" applyBorder="1"/>
    <xf numFmtId="4" fontId="3" fillId="4" borderId="20" xfId="0" applyNumberFormat="1" applyFont="1" applyFill="1" applyBorder="1" applyAlignment="1">
      <alignment horizontal="right"/>
    </xf>
    <xf numFmtId="4" fontId="0" fillId="4" borderId="20" xfId="0" applyNumberFormat="1" applyFont="1" applyFill="1" applyBorder="1" applyAlignment="1">
      <alignment horizontal="right"/>
    </xf>
    <xf numFmtId="4" fontId="6" fillId="3" borderId="1" xfId="1" applyNumberFormat="1" applyFont="1" applyFill="1" applyBorder="1" applyAlignment="1">
      <alignment horizontal="center" vertical="center" wrapText="1"/>
    </xf>
    <xf numFmtId="4" fontId="3" fillId="4" borderId="10" xfId="0" applyNumberFormat="1" applyFont="1" applyFill="1" applyBorder="1" applyAlignment="1">
      <alignment horizontal="right"/>
    </xf>
    <xf numFmtId="0" fontId="3" fillId="4" borderId="9" xfId="0" applyFont="1" applyFill="1" applyBorder="1" applyAlignment="1">
      <alignment horizontal="right"/>
    </xf>
    <xf numFmtId="0" fontId="3" fillId="4" borderId="11" xfId="0" applyFont="1" applyFill="1" applyBorder="1" applyAlignment="1">
      <alignment horizontal="right"/>
    </xf>
    <xf numFmtId="0" fontId="3" fillId="4" borderId="12" xfId="0" applyFont="1" applyFill="1" applyBorder="1" applyAlignment="1">
      <alignment horizontal="right"/>
    </xf>
    <xf numFmtId="4" fontId="3" fillId="4" borderId="13" xfId="0" applyNumberFormat="1" applyFont="1" applyFill="1" applyBorder="1" applyAlignment="1">
      <alignment horizontal="right"/>
    </xf>
    <xf numFmtId="0" fontId="3" fillId="4" borderId="4" xfId="0" applyFont="1" applyFill="1" applyBorder="1" applyAlignment="1">
      <alignment horizontal="right"/>
    </xf>
    <xf numFmtId="0" fontId="3" fillId="4" borderId="1" xfId="0" applyFont="1" applyFill="1" applyBorder="1" applyAlignment="1">
      <alignment horizontal="right"/>
    </xf>
    <xf numFmtId="173" fontId="3" fillId="4" borderId="1" xfId="0" applyNumberFormat="1" applyFont="1" applyFill="1" applyBorder="1" applyAlignment="1">
      <alignment horizontal="right"/>
    </xf>
    <xf numFmtId="0" fontId="3" fillId="4" borderId="1" xfId="0" applyFont="1" applyFill="1" applyBorder="1"/>
    <xf numFmtId="0" fontId="8" fillId="10" borderId="14" xfId="0" applyFont="1" applyFill="1" applyBorder="1" applyProtection="1">
      <protection locked="0"/>
    </xf>
    <xf numFmtId="0" fontId="12" fillId="0" borderId="0" xfId="0" applyFont="1"/>
    <xf numFmtId="0" fontId="8" fillId="4" borderId="1" xfId="0" applyFont="1" applyFill="1" applyBorder="1"/>
    <xf numFmtId="0" fontId="13" fillId="4" borderId="1" xfId="0" applyFont="1" applyFill="1" applyBorder="1"/>
    <xf numFmtId="0" fontId="13" fillId="4" borderId="14" xfId="0" applyFont="1" applyFill="1" applyBorder="1"/>
    <xf numFmtId="0" fontId="3" fillId="10" borderId="27" xfId="0" applyFont="1" applyFill="1" applyBorder="1" applyProtection="1">
      <protection locked="0"/>
    </xf>
    <xf numFmtId="0" fontId="3" fillId="4" borderId="28" xfId="0" applyFont="1" applyFill="1" applyBorder="1"/>
    <xf numFmtId="0" fontId="3" fillId="10" borderId="28" xfId="0" applyFont="1" applyFill="1" applyBorder="1" applyProtection="1">
      <protection locked="0"/>
    </xf>
    <xf numFmtId="0" fontId="3" fillId="4" borderId="29" xfId="0" applyFont="1" applyFill="1" applyBorder="1"/>
    <xf numFmtId="0" fontId="14" fillId="4" borderId="8" xfId="0" applyFont="1" applyFill="1" applyBorder="1"/>
    <xf numFmtId="4" fontId="11" fillId="2" borderId="1" xfId="1" applyNumberFormat="1" applyFont="1" applyFill="1" applyBorder="1"/>
    <xf numFmtId="172" fontId="14" fillId="4" borderId="3" xfId="0" applyNumberFormat="1" applyFont="1" applyFill="1" applyBorder="1"/>
    <xf numFmtId="0" fontId="0" fillId="4" borderId="2" xfId="0" applyFill="1" applyBorder="1"/>
    <xf numFmtId="49" fontId="16" fillId="5" borderId="2" xfId="2" applyNumberFormat="1" applyFont="1" applyFill="1" applyBorder="1"/>
    <xf numFmtId="0" fontId="15" fillId="6" borderId="3" xfId="0" applyFont="1" applyFill="1" applyBorder="1"/>
    <xf numFmtId="4" fontId="5" fillId="5" borderId="1" xfId="1" applyNumberFormat="1" applyFont="1" applyFill="1" applyBorder="1"/>
    <xf numFmtId="169" fontId="6" fillId="7" borderId="30" xfId="1" applyNumberFormat="1" applyFont="1" applyFill="1" applyBorder="1" applyAlignment="1">
      <alignment horizontal="center" vertical="center" wrapText="1"/>
    </xf>
    <xf numFmtId="0" fontId="6" fillId="7" borderId="31" xfId="1" applyFont="1" applyFill="1" applyBorder="1" applyAlignment="1">
      <alignment horizontal="center" vertical="center" wrapText="1"/>
    </xf>
    <xf numFmtId="4" fontId="6" fillId="7" borderId="31" xfId="1" applyNumberFormat="1" applyFont="1" applyFill="1" applyBorder="1" applyAlignment="1">
      <alignment horizontal="center" vertical="center" wrapText="1"/>
    </xf>
    <xf numFmtId="4" fontId="6" fillId="8" borderId="31" xfId="1" applyNumberFormat="1" applyFont="1" applyFill="1" applyBorder="1" applyAlignment="1">
      <alignment horizontal="center" vertical="center" wrapText="1"/>
    </xf>
    <xf numFmtId="4" fontId="6" fillId="8" borderId="32" xfId="1" applyNumberFormat="1" applyFont="1" applyFill="1" applyBorder="1" applyAlignment="1">
      <alignment horizontal="center" vertical="center" wrapText="1"/>
    </xf>
    <xf numFmtId="171" fontId="11" fillId="9" borderId="5" xfId="1" applyNumberFormat="1" applyFont="1" applyFill="1" applyBorder="1"/>
    <xf numFmtId="49" fontId="19" fillId="0" borderId="0" xfId="2" applyNumberFormat="1" applyFont="1" applyFill="1"/>
    <xf numFmtId="165" fontId="19" fillId="0" borderId="0" xfId="2" applyNumberFormat="1" applyFont="1" applyFill="1"/>
    <xf numFmtId="166" fontId="19" fillId="0" borderId="0" xfId="2" applyNumberFormat="1" applyFont="1" applyFill="1"/>
    <xf numFmtId="0" fontId="19" fillId="0" borderId="0" xfId="2" applyNumberFormat="1" applyFont="1" applyFill="1"/>
    <xf numFmtId="167" fontId="19" fillId="0" borderId="0" xfId="2" applyNumberFormat="1" applyFont="1" applyFill="1"/>
    <xf numFmtId="169" fontId="1" fillId="0" borderId="0" xfId="1" applyNumberFormat="1" applyFill="1"/>
    <xf numFmtId="167" fontId="1" fillId="0" borderId="0" xfId="1" applyNumberFormat="1" applyFill="1"/>
    <xf numFmtId="170" fontId="1" fillId="0" borderId="0" xfId="1" applyNumberFormat="1" applyFill="1"/>
    <xf numFmtId="168" fontId="1" fillId="0" borderId="0" xfId="1" applyNumberFormat="1" applyFill="1"/>
    <xf numFmtId="0" fontId="1" fillId="0" borderId="0" xfId="1" applyFill="1"/>
    <xf numFmtId="164" fontId="1" fillId="0" borderId="0" xfId="1" applyNumberFormat="1" applyFill="1"/>
    <xf numFmtId="0" fontId="17" fillId="4" borderId="5" xfId="2" applyNumberFormat="1" applyFont="1" applyFill="1" applyBorder="1"/>
    <xf numFmtId="49" fontId="17" fillId="4" borderId="5" xfId="2" applyNumberFormat="1" applyFont="1" applyFill="1" applyBorder="1"/>
    <xf numFmtId="165" fontId="18" fillId="4" borderId="5" xfId="1" applyNumberFormat="1" applyFont="1" applyFill="1" applyBorder="1"/>
    <xf numFmtId="0" fontId="18" fillId="4" borderId="5" xfId="1" applyFont="1" applyFill="1" applyBorder="1"/>
    <xf numFmtId="169" fontId="18" fillId="4" borderId="5" xfId="1" applyNumberFormat="1" applyFont="1" applyFill="1" applyBorder="1"/>
    <xf numFmtId="4" fontId="18" fillId="4" borderId="5" xfId="1" applyNumberFormat="1" applyFont="1" applyFill="1" applyBorder="1"/>
    <xf numFmtId="169" fontId="6" fillId="3" borderId="0" xfId="1" applyNumberFormat="1" applyFont="1" applyFill="1" applyAlignment="1">
      <alignment horizontal="left"/>
    </xf>
    <xf numFmtId="168" fontId="1" fillId="0" borderId="0" xfId="1" quotePrefix="1" applyNumberFormat="1" applyFill="1"/>
  </cellXfs>
  <cellStyles count="3">
    <cellStyle name="Excel Built-in Normal" xfId="1" xr:uid="{F4389A6C-0B5E-DE4A-B661-A8A335A0C143}"/>
    <cellStyle name="Excel Built-in Normal 1" xfId="2" xr:uid="{A1519BC1-6953-E243-96EB-D541E821E9B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88900</xdr:colOff>
      <xdr:row>12</xdr:row>
      <xdr:rowOff>88900</xdr:rowOff>
    </xdr:from>
    <xdr:to>
      <xdr:col>10</xdr:col>
      <xdr:colOff>863600</xdr:colOff>
      <xdr:row>35</xdr:row>
      <xdr:rowOff>114300</xdr:rowOff>
    </xdr:to>
    <xdr:sp macro="" textlink="">
      <xdr:nvSpPr>
        <xdr:cNvPr id="2" name="TextBox 1">
          <a:extLst>
            <a:ext uri="{FF2B5EF4-FFF2-40B4-BE49-F238E27FC236}">
              <a16:creationId xmlns:a16="http://schemas.microsoft.com/office/drawing/2014/main" id="{908D8901-4D0E-2145-9E36-FFA3C9ACA4CD}"/>
            </a:ext>
          </a:extLst>
        </xdr:cNvPr>
        <xdr:cNvSpPr txBox="1"/>
      </xdr:nvSpPr>
      <xdr:spPr>
        <a:xfrm>
          <a:off x="88900" y="3581400"/>
          <a:ext cx="8737600" cy="4889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VOLCFGRS</a:t>
          </a:r>
          <a:r>
            <a:rPr lang="en-US" sz="1600" baseline="0"/>
            <a:t> = stem vol (inside bark, i.e. wood only) (VOLCFGRS stands for gross cubic foot volume)</a:t>
          </a:r>
          <a:endParaRPr lang="en-US" sz="1600"/>
        </a:p>
        <a:p>
          <a:r>
            <a:rPr lang="en-US" sz="1600"/>
            <a:t>Bark</a:t>
          </a:r>
          <a:r>
            <a:rPr lang="en-US" sz="1600" baseline="0"/>
            <a:t> Vol/stem Vol = 0.16 for white pine. See cell Coeff_1!BH2.</a:t>
          </a:r>
        </a:p>
        <a:p>
          <a:endParaRPr lang="en-US" sz="1600" baseline="0"/>
        </a:p>
        <a:p>
          <a:r>
            <a:rPr lang="en-US" sz="1600" baseline="0"/>
            <a:t>Bole Vol = Stem Vol + Bark Vol (This is a fairly standard forestry definition)</a:t>
          </a:r>
        </a:p>
        <a:p>
          <a:endParaRPr lang="en-US" sz="1600" baseline="0"/>
        </a:p>
        <a:p>
          <a:r>
            <a:rPr lang="en-US" sz="1600" baseline="0"/>
            <a:t>Stump Vol:                  Stump_vol_DOB = ( 0.005454153 × DBH2 × (  1 + (5.62462 × C ) + (8.50038 × C2) ) </a:t>
          </a:r>
        </a:p>
        <a:p>
          <a:endParaRPr lang="en-US" sz="1600" baseline="0"/>
        </a:p>
        <a:p>
          <a:r>
            <a:rPr lang="en-US" sz="1600" baseline="0"/>
            <a:t>		C: Raile_Stump_DOB_B1 in "coeff 1" tab</a:t>
          </a:r>
        </a:p>
        <a:p>
          <a:endParaRPr lang="en-US" sz="1600" baseline="0"/>
        </a:p>
        <a:p>
          <a:endParaRPr lang="en-US" sz="1600" baseline="0"/>
        </a:p>
        <a:p>
          <a:r>
            <a:rPr lang="en-US" sz="1600" baseline="0"/>
            <a:t>Top biomass = Tot biomass - Bole biomass - Stump Biomass - Foliage biomass. (foliage is needles or leaves)</a:t>
          </a:r>
        </a:p>
        <a:p>
          <a:endParaRPr lang="en-US" sz="1600" baseline="0"/>
        </a:p>
        <a:p>
          <a:r>
            <a:rPr lang="en-US" sz="1600" baseline="0"/>
            <a:t>Top = limbs, branches, twigs (this is my interpretation)</a:t>
          </a:r>
        </a:p>
        <a:p>
          <a:endParaRPr lang="en-US" sz="1600" baseline="0"/>
        </a:p>
        <a:p>
          <a:r>
            <a:rPr lang="en-US" sz="1600" baseline="0"/>
            <a:t>Note that the mass ratio of Top to (bole + stump) is usually between  0.085 and 0.099. It is unclear if the corresponding volume ratio would be the same.</a:t>
          </a:r>
        </a:p>
        <a:p>
          <a:endParaRPr lang="en-US" sz="1600" baseline="0"/>
        </a:p>
        <a:p>
          <a:endParaRPr lang="en-US" sz="1600"/>
        </a:p>
      </xdr:txBody>
    </xdr:sp>
    <xdr:clientData/>
  </xdr:twoCellAnchor>
  <xdr:twoCellAnchor>
    <xdr:from>
      <xdr:col>17</xdr:col>
      <xdr:colOff>0</xdr:colOff>
      <xdr:row>0</xdr:row>
      <xdr:rowOff>0</xdr:rowOff>
    </xdr:from>
    <xdr:to>
      <xdr:col>28</xdr:col>
      <xdr:colOff>711200</xdr:colOff>
      <xdr:row>60</xdr:row>
      <xdr:rowOff>38100</xdr:rowOff>
    </xdr:to>
    <xdr:sp macro="" textlink="" fLocksText="0">
      <xdr:nvSpPr>
        <xdr:cNvPr id="3" name="TextBox 4">
          <a:extLst>
            <a:ext uri="{FF2B5EF4-FFF2-40B4-BE49-F238E27FC236}">
              <a16:creationId xmlns:a16="http://schemas.microsoft.com/office/drawing/2014/main" id="{C99E96A0-8EFD-8D40-9789-2300CE046936}"/>
            </a:ext>
          </a:extLst>
        </xdr:cNvPr>
        <xdr:cNvSpPr>
          <a:spLocks noChangeArrowheads="1"/>
        </xdr:cNvSpPr>
      </xdr:nvSpPr>
      <xdr:spPr bwMode="auto">
        <a:xfrm>
          <a:off x="15036800" y="0"/>
          <a:ext cx="9791700" cy="12014200"/>
        </a:xfrm>
        <a:prstGeom prst="rect">
          <a:avLst/>
        </a:prstGeom>
        <a:solidFill>
          <a:srgbClr val="FFFF66"/>
        </a:solidFill>
        <a:ln w="9360">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5000" rIns="90000" bIns="45000" anchor="t"/>
        <a:lstStyle/>
        <a:p>
          <a:pPr algn="l" rtl="0">
            <a:lnSpc>
              <a:spcPts val="1900"/>
            </a:lnSpc>
            <a:defRPr sz="1000"/>
          </a:pPr>
          <a:r>
            <a:rPr lang="en-US" sz="1800" b="1" i="0" u="none" strike="noStrike" baseline="0">
              <a:solidFill>
                <a:srgbClr val="000000"/>
              </a:solidFill>
              <a:latin typeface="Times New Roman" pitchFamily="1" charset="0"/>
              <a:cs typeface="Times New Roman" pitchFamily="1" charset="0"/>
            </a:rPr>
            <a:t>The Estimation Process in this spreadsheet:</a:t>
          </a:r>
        </a:p>
        <a:p>
          <a:pPr algn="l" rtl="0">
            <a:lnSpc>
              <a:spcPts val="1900"/>
            </a:lnSpc>
            <a:defRPr sz="1000"/>
          </a:pPr>
          <a:endParaRPr lang="en-US" sz="18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This spreadsheet uses the following procedure to estimate biomass:</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1) VOLCFGRS (Feet3) = b(DBH2 × Total Tree Height). </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The </a:t>
          </a:r>
          <a:r>
            <a:rPr lang="en-US" sz="1200" b="1" i="0" u="none" strike="noStrike" baseline="0">
              <a:solidFill>
                <a:srgbClr val="FF0000"/>
              </a:solidFill>
              <a:latin typeface="Times New Roman" pitchFamily="1" charset="0"/>
              <a:cs typeface="Times New Roman" pitchFamily="1" charset="0"/>
            </a:rPr>
            <a:t>coefficient b</a:t>
          </a:r>
          <a:r>
            <a:rPr lang="en-US" sz="1200" b="0" i="0" u="none" strike="noStrike" baseline="0">
              <a:solidFill>
                <a:srgbClr val="FF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is based on a regression fit to TREE table data in the FIADB.  Species that had relative errors greater than 10% were omitted from this spreadsheet.  Note that FIA bases their VOLCFGRS estimates on region-specific equations.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2) VOLCFSND (Feet3) = VOLCFGRS × Cull%</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3) </a:t>
          </a:r>
          <a:r>
            <a:rPr lang="en-US" sz="1200" b="1" i="0" u="none" strike="noStrike" baseline="0">
              <a:solidFill>
                <a:srgbClr val="FF0000"/>
              </a:solidFill>
              <a:latin typeface="Times New Roman" pitchFamily="1" charset="0"/>
              <a:cs typeface="Times New Roman" pitchFamily="1" charset="0"/>
            </a:rPr>
            <a:t>DRYBIO_BOLE (lbs)</a:t>
          </a:r>
          <a:r>
            <a:rPr lang="en-US" sz="1200" b="1" i="0" u="none" strike="noStrike" baseline="0">
              <a:solidFill>
                <a:srgbClr val="000000"/>
              </a:solidFill>
              <a:latin typeface="Times New Roman" pitchFamily="1" charset="0"/>
              <a:cs typeface="Times New Roman" pitchFamily="1" charset="0"/>
            </a:rPr>
            <a:t> = (VOLCFSND × (BARK_VOL_PCT/100) × (BARK_SPGR_GREENVOL_DRYWT × 62.4)) +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(VOLCFSND × WOOD_SPGR_GREENVOL_DRYWT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BARK_SPGR_GREENVOL_DRYW (green specific gravity of the bark (green volume and oven-dry weight)</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WOOD_SPGR_GREENVOL_DRYWT (green specific gravity of the wood (green volume and oven-dry weight)</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specice specific gravity of the bark and the wood is presented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4)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Total_AG_biomass_Jenkins (lbs) = Exp(Jenkins_Total_B1 + Jenkins_Total_B2 * ln( DBH × 2.54 )) × 2.2046</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Each species specific Jenkins_Total_B1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Stem_ratio = Exp( Jenkins_Stem_Wood_Ratio_B1 + Jenkins_Stem_Wood_Ratio_B2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Jenkins_Stem_Wood_Ratio_B1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Bark_ratio = Exp( Jenkins_Stem_Bark_Ratio_B1 + Jenkins_Stem_Bark_Ratio_B2 / ( DBH × 2.54 ))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Each species specific Jenkins_Stem_Bark_Ratio_B1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Foliage_ratio = Exp( Jenkins_Foliage_Ratio_B1 + Jenkins_Foliage_Ratio_B2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Jenkins_Foliage_Ratio_B1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Stem_biomass_Jenkins (lbs) = Total_AG_biomass_Jenkins × Stem_ratio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Bark_biomass_Jenkins (lbs) = Total_AG_biomass_Jenkins × Bark_ratio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Bole_biomass_Jenkins (lbs) = Stem_biomass_Jenkins + Bark_biomass_Jenkins</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Foliage_biomass_Jenkins (lbs) = Total_AG_biomass_Jenkins × Foliage_ratio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Stump_biomass (lbs) = Stump Bark Biomass + Stump Wood Biomass</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Stump_vol_DIB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A2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A × B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B2)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 Raile_Stump_DIB_B1 in "coeff 1" tab</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 Raile_Stump_DIB_B2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Stump_vol_DOB =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1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C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C2)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C: Raile_Stump_DOB_B1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Bark Biomas = (Stump_vol_DOB - Stump_vol_DIB ) × Bark_SPGR_GREENVOL_DRYW × 62.4</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Wood Biomass = Stump_vol_DIB × Wood_SPGR_GREENVOL_DRYW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Top_biomass_Jenkins (lbs) = ( Total_AG_biomass_Jenkins - Stem_biomass_Jenkins - Bark_biomass_jenkins -    			         Foliage_biomass_Jenkins - Stump_biomass )</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5)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DRYBIO_TOP (lbs) </a:t>
          </a:r>
          <a:r>
            <a:rPr lang="en-US" sz="1200" b="1" i="0" u="none" strike="noStrike" baseline="0">
              <a:solidFill>
                <a:srgbClr val="000000"/>
              </a:solidFill>
              <a:latin typeface="Times New Roman" pitchFamily="1" charset="0"/>
              <a:cs typeface="Times New Roman" pitchFamily="1" charset="0"/>
            </a:rPr>
            <a:t>= Top_biomass_Jenkins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AdjFac = DRYBIO_BOLE / Bole_biomass_Jenkins</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DRYBIO_STUMP (lbs) </a:t>
          </a:r>
          <a:r>
            <a:rPr lang="en-US" sz="1200" b="1" i="0" u="none" strike="noStrike" baseline="0">
              <a:solidFill>
                <a:srgbClr val="000000"/>
              </a:solidFill>
              <a:latin typeface="Times New Roman" pitchFamily="1" charset="0"/>
              <a:cs typeface="Times New Roman" pitchFamily="1" charset="0"/>
            </a:rPr>
            <a:t>= Stump_biomass_Jenkins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DRYBIOT (lbs)</a:t>
          </a:r>
          <a:r>
            <a:rPr lang="en-US" sz="1200" b="1" i="0" u="none" strike="noStrike" baseline="0">
              <a:solidFill>
                <a:srgbClr val="000000"/>
              </a:solidFill>
              <a:latin typeface="Times New Roman" pitchFamily="1" charset="0"/>
              <a:cs typeface="Times New Roman" pitchFamily="1" charset="0"/>
            </a:rPr>
            <a:t> = DRYBIO_BOLE + DRYBIO_TOP + DRYBIOT_STUMP</a:t>
          </a: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xdr:txBody>
    </xdr:sp>
    <xdr:clientData/>
  </xdr:twoCellAnchor>
  <xdr:twoCellAnchor>
    <xdr:from>
      <xdr:col>3</xdr:col>
      <xdr:colOff>165100</xdr:colOff>
      <xdr:row>11</xdr:row>
      <xdr:rowOff>38100</xdr:rowOff>
    </xdr:from>
    <xdr:to>
      <xdr:col>10</xdr:col>
      <xdr:colOff>876300</xdr:colOff>
      <xdr:row>12</xdr:row>
      <xdr:rowOff>114300</xdr:rowOff>
    </xdr:to>
    <xdr:sp macro="" textlink="">
      <xdr:nvSpPr>
        <xdr:cNvPr id="6" name="TextBox 5">
          <a:extLst>
            <a:ext uri="{FF2B5EF4-FFF2-40B4-BE49-F238E27FC236}">
              <a16:creationId xmlns:a16="http://schemas.microsoft.com/office/drawing/2014/main" id="{90FF6AD0-72B5-C64C-A4A6-2AEE854B77B2}"/>
            </a:ext>
          </a:extLst>
        </xdr:cNvPr>
        <xdr:cNvSpPr txBox="1"/>
      </xdr:nvSpPr>
      <xdr:spPr>
        <a:xfrm>
          <a:off x="3098800" y="3276600"/>
          <a:ext cx="5740400" cy="33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Trunk Vol = bole + stump (outside bark)</a:t>
          </a:r>
        </a:p>
      </xdr:txBody>
    </xdr:sp>
    <xdr:clientData/>
  </xdr:twoCellAnchor>
  <xdr:twoCellAnchor>
    <xdr:from>
      <xdr:col>0</xdr:col>
      <xdr:colOff>12700</xdr:colOff>
      <xdr:row>43</xdr:row>
      <xdr:rowOff>50800</xdr:rowOff>
    </xdr:from>
    <xdr:to>
      <xdr:col>14</xdr:col>
      <xdr:colOff>787400</xdr:colOff>
      <xdr:row>57</xdr:row>
      <xdr:rowOff>50800</xdr:rowOff>
    </xdr:to>
    <xdr:sp macro="" textlink="">
      <xdr:nvSpPr>
        <xdr:cNvPr id="4" name="TextBox 3">
          <a:extLst>
            <a:ext uri="{FF2B5EF4-FFF2-40B4-BE49-F238E27FC236}">
              <a16:creationId xmlns:a16="http://schemas.microsoft.com/office/drawing/2014/main" id="{BF5941C7-7E70-4D47-B982-AEF0D43ECE9D}"/>
            </a:ext>
          </a:extLst>
        </xdr:cNvPr>
        <xdr:cNvSpPr txBox="1"/>
      </xdr:nvSpPr>
      <xdr:spPr>
        <a:xfrm>
          <a:off x="12700" y="10160000"/>
          <a:ext cx="14312900" cy="284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This worksheet allows the user to</a:t>
          </a:r>
          <a:r>
            <a:rPr lang="en-US" sz="1600" b="1" baseline="0"/>
            <a:t> </a:t>
          </a:r>
          <a:r>
            <a:rPr lang="en-US" sz="1600" b="1"/>
            <a:t>compare the trunk volume of a white pine computed through the FIA and the direct modeling method of the Native Tree Society (NTS) that employs a trunk form factor. Thus for a sample pine, its DBH,</a:t>
          </a:r>
          <a:r>
            <a:rPr lang="en-US" sz="1600" b="1" baseline="0"/>
            <a:t> height, and trunk form factor must be known to be able to make the comparison.  This worksheet applies the FIA model to get full above ground biomass as shown in cell O2.  </a:t>
          </a:r>
        </a:p>
        <a:p>
          <a:endParaRPr lang="en-US" sz="1600" b="1" baseline="0"/>
        </a:p>
        <a:p>
          <a:r>
            <a:rPr lang="en-US" sz="1600" b="1" baseline="0"/>
            <a:t>The volume comparisons are cells </a:t>
          </a:r>
          <a:r>
            <a:rPr lang="en-US" sz="1600" b="1" baseline="0">
              <a:solidFill>
                <a:srgbClr val="FF0000"/>
              </a:solidFill>
            </a:rPr>
            <a:t>K10</a:t>
          </a:r>
          <a:r>
            <a:rPr lang="en-US" sz="1600" b="1" baseline="0"/>
            <a:t> and </a:t>
          </a:r>
          <a:r>
            <a:rPr lang="en-US" sz="1600" b="1" baseline="0">
              <a:solidFill>
                <a:srgbClr val="FF0000"/>
              </a:solidFill>
            </a:rPr>
            <a:t>L37</a:t>
          </a:r>
          <a:r>
            <a:rPr lang="en-US" sz="1600" b="1" baseline="0"/>
            <a:t>. </a:t>
          </a:r>
        </a:p>
        <a:p>
          <a:endParaRPr lang="en-US" sz="1600" b="1" baseline="0"/>
        </a:p>
        <a:p>
          <a:r>
            <a:rPr lang="en-US" sz="1600" b="1" baseline="0"/>
            <a:t>To get a direct NTS to FIA stump volume comparison enter the circumference at the base and one foot above (if available) in cells G42 and I42 above, The comparison will be to that in cell L25.  </a:t>
          </a:r>
          <a:endParaRPr lang="en-US" sz="16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210B-8E30-D147-A312-0E87CC048AF2}">
  <dimension ref="A1:AC42"/>
  <sheetViews>
    <sheetView workbookViewId="0">
      <selection activeCell="G42" sqref="G42"/>
    </sheetView>
  </sheetViews>
  <sheetFormatPr baseColWidth="10" defaultRowHeight="16"/>
  <cols>
    <col min="2" max="2" width="25" customWidth="1"/>
    <col min="3" max="3" width="10.1640625" customWidth="1"/>
    <col min="4" max="4" width="2.6640625" customWidth="1"/>
    <col min="5" max="5" width="3.83203125" customWidth="1"/>
    <col min="6" max="6" width="7.6640625" customWidth="1"/>
    <col min="8" max="8" width="13.83203125" customWidth="1"/>
    <col min="9" max="9" width="16.83203125" customWidth="1"/>
    <col min="10" max="10" width="14" customWidth="1"/>
    <col min="11" max="12" width="23.83203125" customWidth="1"/>
    <col min="13" max="13" width="15.33203125" customWidth="1"/>
    <col min="14" max="14" width="15" customWidth="1"/>
    <col min="15" max="15" width="22.5" customWidth="1"/>
    <col min="16" max="16" width="15.33203125" customWidth="1"/>
    <col min="17" max="17" width="5.33203125" customWidth="1"/>
  </cols>
  <sheetData>
    <row r="1" spans="1:29" ht="44">
      <c r="A1" s="61" t="s">
        <v>127</v>
      </c>
      <c r="G1" s="76" t="s">
        <v>11</v>
      </c>
      <c r="H1" s="77" t="s">
        <v>126</v>
      </c>
      <c r="I1" s="78" t="s">
        <v>12</v>
      </c>
      <c r="J1" s="77" t="s">
        <v>4</v>
      </c>
      <c r="K1" s="79" t="s">
        <v>5</v>
      </c>
      <c r="L1" s="79" t="s">
        <v>6</v>
      </c>
      <c r="M1" s="79" t="s">
        <v>7</v>
      </c>
      <c r="N1" s="79" t="s">
        <v>8</v>
      </c>
      <c r="O1" s="79" t="s">
        <v>9</v>
      </c>
      <c r="P1" s="80" t="s">
        <v>10</v>
      </c>
    </row>
    <row r="2" spans="1:29" s="3" customFormat="1" ht="18" customHeight="1">
      <c r="A2" s="93">
        <v>833</v>
      </c>
      <c r="B2" s="94" t="s">
        <v>140</v>
      </c>
      <c r="C2" s="94" t="s">
        <v>141</v>
      </c>
      <c r="D2" s="94" t="s">
        <v>142</v>
      </c>
      <c r="E2" s="94"/>
      <c r="F2" s="94"/>
      <c r="G2" s="95">
        <f>2.036*12</f>
        <v>24.432000000000002</v>
      </c>
      <c r="H2" s="96">
        <v>111</v>
      </c>
      <c r="I2" s="97">
        <f>Coeff_2!H2*((G2^2)*H2)</f>
        <v>121.58418466944003</v>
      </c>
      <c r="J2" s="96">
        <v>0</v>
      </c>
      <c r="K2" s="98">
        <f t="shared" ref="K2" si="0">I2*(1-(J2/100))</f>
        <v>121.58418466944003</v>
      </c>
      <c r="L2" s="98">
        <f>(K2*(Coeff_1!BH2/100)*(Coeff_1!AZ2*62.4))+(K2*Coeff_1!AX2*62.4)</f>
        <v>5280.4497738676491</v>
      </c>
      <c r="M2" s="98">
        <f>Coeff_2!X2*Coeff_2!Y2</f>
        <v>952.61573099089924</v>
      </c>
      <c r="N2" s="98">
        <f>Coeff_2!W2*Coeff_2!Y2</f>
        <v>209.12238964758811</v>
      </c>
      <c r="O2" s="98">
        <f t="shared" ref="O2" si="1">L2+M2+N2</f>
        <v>6442.1878945061371</v>
      </c>
      <c r="P2" s="81">
        <f>K7/((G2/12)^2/4*PI()*H2)</f>
        <v>0.4204773164722635</v>
      </c>
      <c r="AB2" s="3">
        <f>M2/L2</f>
        <v>0.18040427838274065</v>
      </c>
      <c r="AC2" s="3">
        <f>N2/L2</f>
        <v>3.9603139619376983E-2</v>
      </c>
    </row>
    <row r="3" spans="1:29" ht="17" thickBot="1"/>
    <row r="4" spans="1:29" ht="29" thickBot="1">
      <c r="I4" s="70" t="s">
        <v>13</v>
      </c>
      <c r="J4" s="70"/>
      <c r="K4" s="70">
        <f>Coeff_1!BH2/100*K2</f>
        <v>24.316836933888009</v>
      </c>
      <c r="N4" s="50" t="s">
        <v>118</v>
      </c>
      <c r="O4" s="50">
        <f>O2*(1-Coeff_2!K2)</f>
        <v>6322.5941602447137</v>
      </c>
    </row>
    <row r="5" spans="1:29" ht="21" thickBot="1">
      <c r="I5" s="70" t="s">
        <v>23</v>
      </c>
      <c r="J5" s="70"/>
      <c r="K5" s="70">
        <f>K2+K4</f>
        <v>145.90102160332805</v>
      </c>
      <c r="N5" s="50" t="s">
        <v>119</v>
      </c>
      <c r="O5" s="50">
        <f>O2*Coeff_2!K2</f>
        <v>119.59373426142301</v>
      </c>
    </row>
    <row r="6" spans="1:29" ht="21" thickBot="1">
      <c r="I6" s="70" t="s">
        <v>115</v>
      </c>
      <c r="J6" s="70"/>
      <c r="K6" s="70">
        <f>0.005454153*(BioMass!G2^2)*(1+(5.62462*Coeff_1!BJ2)+(8.50038*(Coeff_1!BJ2^2)))</f>
        <v>6.0525734016551302</v>
      </c>
    </row>
    <row r="7" spans="1:29" ht="21" thickBot="1">
      <c r="I7" s="73" t="s">
        <v>134</v>
      </c>
      <c r="J7" s="74"/>
      <c r="K7" s="75">
        <f>K5+K6</f>
        <v>151.95359500498319</v>
      </c>
    </row>
    <row r="8" spans="1:29" ht="17" thickBot="1"/>
    <row r="9" spans="1:29" ht="22" thickBot="1">
      <c r="B9" s="15"/>
      <c r="C9" s="11"/>
      <c r="D9" s="11"/>
      <c r="E9" s="11"/>
      <c r="F9" s="11"/>
      <c r="G9" s="17" t="s">
        <v>16</v>
      </c>
      <c r="H9" s="45" t="s">
        <v>17</v>
      </c>
      <c r="I9" s="18" t="s">
        <v>18</v>
      </c>
      <c r="J9" s="17" t="s">
        <v>10</v>
      </c>
      <c r="K9" s="18" t="s">
        <v>19</v>
      </c>
    </row>
    <row r="10" spans="1:29" ht="22" thickBot="1">
      <c r="B10" s="16" t="s">
        <v>15</v>
      </c>
      <c r="C10" s="13"/>
      <c r="D10" s="13"/>
      <c r="E10" s="13"/>
      <c r="F10" s="13"/>
      <c r="G10" s="16">
        <f>G2/12</f>
        <v>2.036</v>
      </c>
      <c r="H10" s="12">
        <f>PI()*G10^2/4</f>
        <v>3.2557078651387887</v>
      </c>
      <c r="I10" s="14">
        <f>H2</f>
        <v>111</v>
      </c>
      <c r="J10" s="60">
        <v>0.45400000000000001</v>
      </c>
      <c r="K10" s="69">
        <f>H10*I10*J10</f>
        <v>164.06814215580414</v>
      </c>
    </row>
    <row r="11" spans="1:29" ht="22" thickBot="1">
      <c r="B11" s="16" t="s">
        <v>132</v>
      </c>
      <c r="D11" s="72"/>
      <c r="E11" s="11"/>
      <c r="F11" s="11"/>
      <c r="G11" s="11"/>
      <c r="H11" s="11"/>
      <c r="I11" s="11"/>
      <c r="J11" s="44"/>
      <c r="K11" s="62">
        <f>K10*(1+N36)</f>
        <v>192.49836843943822</v>
      </c>
      <c r="L11" s="63" t="s">
        <v>128</v>
      </c>
      <c r="M11" s="21">
        <f>Coeff_1!AX2</f>
        <v>0.56000000000000005</v>
      </c>
      <c r="N11" s="21">
        <f>M11*62.4</f>
        <v>34.944000000000003</v>
      </c>
      <c r="O11" s="22" t="s">
        <v>130</v>
      </c>
    </row>
    <row r="12" spans="1:29" ht="20" thickBot="1">
      <c r="L12" s="64" t="s">
        <v>129</v>
      </c>
      <c r="M12" s="21">
        <f>Coeff_1!AZ2</f>
        <v>0.68</v>
      </c>
      <c r="N12" s="20">
        <f>M12*62.4</f>
        <v>42.432000000000002</v>
      </c>
      <c r="O12" s="19" t="s">
        <v>131</v>
      </c>
    </row>
    <row r="13" spans="1:29" ht="17" thickBot="1"/>
    <row r="14" spans="1:29" ht="17" thickBot="1">
      <c r="L14" s="43" t="s">
        <v>135</v>
      </c>
      <c r="M14" s="46"/>
      <c r="N14" s="47"/>
    </row>
    <row r="15" spans="1:29" ht="17" thickBot="1">
      <c r="L15" s="23" t="s">
        <v>31</v>
      </c>
      <c r="M15" s="24" t="s">
        <v>25</v>
      </c>
      <c r="N15" s="25" t="s">
        <v>26</v>
      </c>
    </row>
    <row r="16" spans="1:29">
      <c r="L16" s="26">
        <f>I2</f>
        <v>121.58418466944003</v>
      </c>
      <c r="M16" s="27">
        <f>N11</f>
        <v>34.944000000000003</v>
      </c>
      <c r="N16" s="28">
        <f>L16*M16</f>
        <v>4248.6377490889126</v>
      </c>
    </row>
    <row r="17" spans="12:14">
      <c r="L17" s="29"/>
      <c r="M17" s="30"/>
      <c r="N17" s="31"/>
    </row>
    <row r="18" spans="12:14" ht="17" thickBot="1">
      <c r="L18" s="34"/>
      <c r="M18" s="35"/>
      <c r="N18" s="36"/>
    </row>
    <row r="19" spans="12:14" ht="17" thickBot="1">
      <c r="L19" s="23" t="s">
        <v>13</v>
      </c>
      <c r="M19" s="24" t="s">
        <v>27</v>
      </c>
      <c r="N19" s="25" t="s">
        <v>28</v>
      </c>
    </row>
    <row r="20" spans="12:14">
      <c r="L20" s="37">
        <f>K4</f>
        <v>24.316836933888009</v>
      </c>
      <c r="M20" s="27">
        <f>N12</f>
        <v>42.432000000000002</v>
      </c>
      <c r="N20" s="38">
        <f>L20*M20</f>
        <v>1031.812024778736</v>
      </c>
    </row>
    <row r="21" spans="12:14" ht="17" thickBot="1">
      <c r="L21" s="34"/>
      <c r="M21" s="35"/>
      <c r="N21" s="36"/>
    </row>
    <row r="22" spans="12:14" ht="17" thickBot="1">
      <c r="L22" s="23" t="s">
        <v>24</v>
      </c>
      <c r="M22" s="24"/>
      <c r="N22" s="49">
        <f>N16+N20</f>
        <v>5280.4497738676491</v>
      </c>
    </row>
    <row r="23" spans="12:14" ht="17" thickBot="1">
      <c r="L23" s="39"/>
      <c r="M23" s="40"/>
      <c r="N23" s="41"/>
    </row>
    <row r="24" spans="12:14" ht="17" thickBot="1">
      <c r="L24" s="23" t="s">
        <v>14</v>
      </c>
      <c r="M24" s="24" t="s">
        <v>125</v>
      </c>
      <c r="N24" s="25" t="s">
        <v>29</v>
      </c>
    </row>
    <row r="25" spans="12:14">
      <c r="L25" s="37">
        <f>K6</f>
        <v>6.0525734016551302</v>
      </c>
      <c r="M25" s="27">
        <f>(Coeff_2!U2+Coeff_2!V2)/Coeff_2!T2</f>
        <v>35.853402540666416</v>
      </c>
      <c r="N25" s="28">
        <f>L25*M25</f>
        <v>217.00535057647201</v>
      </c>
    </row>
    <row r="26" spans="12:14" ht="17" thickBot="1">
      <c r="L26" s="34"/>
      <c r="M26" s="35"/>
      <c r="N26" s="36"/>
    </row>
    <row r="27" spans="12:14" ht="17" thickBot="1">
      <c r="L27" s="23" t="s">
        <v>30</v>
      </c>
      <c r="M27" s="24"/>
      <c r="N27" s="48">
        <f>N22+N25</f>
        <v>5497.4551244441209</v>
      </c>
    </row>
    <row r="28" spans="12:14" ht="17" thickBot="1">
      <c r="L28" s="42"/>
      <c r="M28" s="27"/>
      <c r="N28" s="28"/>
    </row>
    <row r="29" spans="12:14" ht="17" thickBot="1">
      <c r="L29" s="23" t="s">
        <v>120</v>
      </c>
      <c r="M29" s="33"/>
      <c r="N29" s="51">
        <f>O5</f>
        <v>119.59373426142301</v>
      </c>
    </row>
    <row r="30" spans="12:14">
      <c r="L30" s="29"/>
      <c r="M30" s="30"/>
      <c r="N30" s="31"/>
    </row>
    <row r="31" spans="12:14">
      <c r="L31" s="52" t="s">
        <v>121</v>
      </c>
      <c r="M31" s="30"/>
      <c r="N31" s="51">
        <f>M2</f>
        <v>952.61573099089924</v>
      </c>
    </row>
    <row r="32" spans="12:14">
      <c r="L32" s="32"/>
      <c r="M32" s="30"/>
      <c r="N32" s="31"/>
    </row>
    <row r="33" spans="2:15">
      <c r="L33" s="29"/>
      <c r="M33" s="30"/>
      <c r="N33" s="31"/>
    </row>
    <row r="34" spans="2:15" ht="17" thickBot="1">
      <c r="L34" s="53" t="s">
        <v>122</v>
      </c>
      <c r="M34" s="54"/>
      <c r="N34" s="55">
        <f>N27+N29+N31</f>
        <v>6569.6645896964437</v>
      </c>
    </row>
    <row r="35" spans="2:15" ht="17" thickBot="1">
      <c r="L35" s="57" t="s">
        <v>123</v>
      </c>
      <c r="M35" s="56"/>
      <c r="N35" s="58">
        <f>N31/N34</f>
        <v>0.14500218663901615</v>
      </c>
    </row>
    <row r="36" spans="2:15" ht="17" thickBot="1">
      <c r="L36" s="57" t="s">
        <v>124</v>
      </c>
      <c r="M36" s="15"/>
      <c r="N36" s="59">
        <f>N31/(N27)</f>
        <v>0.17328303904749448</v>
      </c>
    </row>
    <row r="37" spans="2:15" ht="22" thickBot="1">
      <c r="K37" s="59" t="s">
        <v>136</v>
      </c>
      <c r="L37" s="71">
        <f>L16+L20+L25</f>
        <v>151.95359500498319</v>
      </c>
    </row>
    <row r="38" spans="2:15" ht="22" thickBot="1">
      <c r="K38" s="59" t="s">
        <v>151</v>
      </c>
      <c r="L38" s="71">
        <f>K7*(1+N36)</f>
        <v>178.28457574163883</v>
      </c>
    </row>
    <row r="40" spans="2:15" ht="17" thickBot="1"/>
    <row r="41" spans="2:15" ht="17" thickBot="1">
      <c r="B41" s="43" t="s">
        <v>133</v>
      </c>
      <c r="C41" s="11"/>
      <c r="D41" s="11"/>
      <c r="E41" s="11"/>
      <c r="F41" s="44"/>
      <c r="G41" s="23" t="s">
        <v>116</v>
      </c>
      <c r="H41" s="24" t="s">
        <v>117</v>
      </c>
      <c r="I41" s="24" t="s">
        <v>20</v>
      </c>
      <c r="J41" s="24" t="s">
        <v>21</v>
      </c>
      <c r="K41" s="25" t="s">
        <v>22</v>
      </c>
    </row>
    <row r="42" spans="2:15" ht="17" thickBot="1">
      <c r="G42" s="65"/>
      <c r="H42" s="66">
        <f>G42/PI()/2</f>
        <v>0</v>
      </c>
      <c r="I42" s="67"/>
      <c r="J42" s="66">
        <f>I42/PI()/2</f>
        <v>0</v>
      </c>
      <c r="K42" s="68">
        <f>PI()*0.333*1*(H42^2+H42*J42+J42^2)</f>
        <v>0</v>
      </c>
      <c r="L42" s="43" t="s">
        <v>114</v>
      </c>
      <c r="M42" s="11"/>
      <c r="N42" s="11"/>
      <c r="O42" s="44"/>
    </row>
  </sheetData>
  <sheetProtection sheet="1" objects="1" scenarios="1"/>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68E42-D830-BB4E-B423-6A48BF350B46}">
  <dimension ref="A1:BL5"/>
  <sheetViews>
    <sheetView topLeftCell="N1" workbookViewId="0">
      <selection activeCell="AO2" sqref="AO2"/>
    </sheetView>
  </sheetViews>
  <sheetFormatPr baseColWidth="10" defaultRowHeight="16"/>
  <cols>
    <col min="1" max="5" width="2" customWidth="1"/>
    <col min="6" max="10" width="3.1640625" customWidth="1"/>
    <col min="11" max="11" width="5.6640625" customWidth="1"/>
    <col min="12" max="37" width="3.1640625" customWidth="1"/>
    <col min="38" max="65" width="36.6640625" customWidth="1"/>
  </cols>
  <sheetData>
    <row r="1" spans="1:64" s="4" customFormat="1" ht="12.75" customHeight="1">
      <c r="A1" s="5" t="s">
        <v>32</v>
      </c>
      <c r="B1" s="5" t="s">
        <v>33</v>
      </c>
      <c r="C1" s="5" t="s">
        <v>34</v>
      </c>
      <c r="D1" s="5" t="s">
        <v>35</v>
      </c>
      <c r="E1" s="5" t="s">
        <v>36</v>
      </c>
      <c r="F1" s="5" t="s">
        <v>37</v>
      </c>
      <c r="G1" s="5" t="s">
        <v>38</v>
      </c>
      <c r="H1" s="5" t="s">
        <v>39</v>
      </c>
      <c r="I1" s="5" t="s">
        <v>40</v>
      </c>
      <c r="J1" s="5" t="s">
        <v>41</v>
      </c>
      <c r="K1" s="5" t="s">
        <v>42</v>
      </c>
      <c r="L1" s="5" t="s">
        <v>43</v>
      </c>
      <c r="M1" s="5" t="s">
        <v>44</v>
      </c>
      <c r="N1" s="5" t="s">
        <v>45</v>
      </c>
      <c r="O1" s="5" t="s">
        <v>46</v>
      </c>
      <c r="P1" s="5" t="s">
        <v>47</v>
      </c>
      <c r="Q1" s="5" t="s">
        <v>48</v>
      </c>
      <c r="R1" s="5" t="s">
        <v>49</v>
      </c>
      <c r="S1" s="5" t="s">
        <v>50</v>
      </c>
      <c r="T1" s="5" t="s">
        <v>51</v>
      </c>
      <c r="U1" s="5" t="s">
        <v>52</v>
      </c>
      <c r="V1" s="5" t="s">
        <v>53</v>
      </c>
      <c r="W1" s="5" t="s">
        <v>54</v>
      </c>
      <c r="X1" s="5" t="s">
        <v>55</v>
      </c>
      <c r="Y1" s="5" t="s">
        <v>56</v>
      </c>
      <c r="Z1" s="5" t="s">
        <v>57</v>
      </c>
      <c r="AA1" s="5" t="s">
        <v>58</v>
      </c>
      <c r="AB1" s="5" t="s">
        <v>59</v>
      </c>
      <c r="AC1" s="5" t="s">
        <v>60</v>
      </c>
      <c r="AD1" s="5" t="s">
        <v>61</v>
      </c>
      <c r="AE1" s="5" t="s">
        <v>62</v>
      </c>
      <c r="AF1" s="5" t="s">
        <v>63</v>
      </c>
      <c r="AG1" s="5" t="s">
        <v>64</v>
      </c>
      <c r="AH1" s="5" t="s">
        <v>65</v>
      </c>
      <c r="AI1" s="5" t="s">
        <v>66</v>
      </c>
      <c r="AJ1" s="5" t="s">
        <v>67</v>
      </c>
      <c r="AK1" s="5" t="s">
        <v>68</v>
      </c>
      <c r="AL1" s="5" t="s">
        <v>69</v>
      </c>
      <c r="AM1" s="5" t="s">
        <v>70</v>
      </c>
      <c r="AN1" s="5" t="s">
        <v>71</v>
      </c>
      <c r="AO1" s="5" t="s">
        <v>72</v>
      </c>
      <c r="AP1" s="5" t="s">
        <v>73</v>
      </c>
      <c r="AQ1" s="5" t="s">
        <v>74</v>
      </c>
      <c r="AR1" s="5" t="s">
        <v>75</v>
      </c>
      <c r="AS1" s="5" t="s">
        <v>76</v>
      </c>
      <c r="AT1" s="5" t="s">
        <v>77</v>
      </c>
      <c r="AU1" s="5" t="s">
        <v>78</v>
      </c>
      <c r="AV1" s="5" t="s">
        <v>79</v>
      </c>
      <c r="AW1" s="5" t="s">
        <v>80</v>
      </c>
      <c r="AX1" s="5" t="s">
        <v>81</v>
      </c>
      <c r="AY1" s="5" t="s">
        <v>82</v>
      </c>
      <c r="AZ1" s="5" t="s">
        <v>83</v>
      </c>
      <c r="BA1" s="5" t="s">
        <v>84</v>
      </c>
      <c r="BB1" s="5" t="s">
        <v>85</v>
      </c>
      <c r="BC1" s="5" t="s">
        <v>86</v>
      </c>
      <c r="BD1" s="5" t="s">
        <v>87</v>
      </c>
      <c r="BE1" s="5" t="s">
        <v>88</v>
      </c>
      <c r="BF1" s="5" t="s">
        <v>89</v>
      </c>
      <c r="BG1" s="5" t="s">
        <v>90</v>
      </c>
      <c r="BH1" s="5" t="s">
        <v>91</v>
      </c>
      <c r="BI1" s="5" t="s">
        <v>92</v>
      </c>
      <c r="BJ1" s="5" t="s">
        <v>93</v>
      </c>
      <c r="BK1" s="5" t="s">
        <v>94</v>
      </c>
      <c r="BL1" s="5" t="s">
        <v>95</v>
      </c>
    </row>
    <row r="2" spans="1:64" s="4" customFormat="1" ht="12.75" customHeight="1">
      <c r="A2" s="85" t="s">
        <v>139</v>
      </c>
      <c r="B2" s="85">
        <v>833</v>
      </c>
      <c r="C2" s="82" t="s">
        <v>140</v>
      </c>
      <c r="D2" s="82" t="s">
        <v>141</v>
      </c>
      <c r="E2" s="82" t="s">
        <v>142</v>
      </c>
      <c r="F2" s="82"/>
      <c r="G2" s="82"/>
      <c r="H2" s="82" t="s">
        <v>143</v>
      </c>
      <c r="I2" s="85">
        <v>26</v>
      </c>
      <c r="J2" s="85">
        <v>26</v>
      </c>
      <c r="K2" s="85">
        <v>4</v>
      </c>
      <c r="L2" s="85">
        <v>29</v>
      </c>
      <c r="M2" s="85">
        <v>85</v>
      </c>
      <c r="N2" s="82" t="s">
        <v>0</v>
      </c>
      <c r="O2" s="82" t="s">
        <v>0</v>
      </c>
      <c r="P2" s="82"/>
      <c r="Q2" s="82"/>
      <c r="R2" s="82" t="s">
        <v>0</v>
      </c>
      <c r="S2" s="82" t="s">
        <v>0</v>
      </c>
      <c r="T2" s="82" t="s">
        <v>137</v>
      </c>
      <c r="U2" s="82" t="s">
        <v>0</v>
      </c>
      <c r="V2" s="82" t="s">
        <v>0</v>
      </c>
      <c r="W2" s="82"/>
      <c r="X2" s="82"/>
      <c r="Y2" s="82" t="s">
        <v>0</v>
      </c>
      <c r="Z2" s="82" t="s">
        <v>1</v>
      </c>
      <c r="AA2" s="82"/>
      <c r="AB2" s="82"/>
      <c r="AC2" s="83">
        <v>1.7</v>
      </c>
      <c r="AD2" s="83"/>
      <c r="AE2" s="82" t="s">
        <v>2</v>
      </c>
      <c r="AF2" s="84">
        <v>38407.403009259258</v>
      </c>
      <c r="AG2" s="82" t="s">
        <v>3</v>
      </c>
      <c r="AH2" s="82" t="s">
        <v>144</v>
      </c>
      <c r="AI2" s="84">
        <v>39526.714432870373</v>
      </c>
      <c r="AJ2" s="82" t="s">
        <v>3</v>
      </c>
      <c r="AK2" s="82" t="s">
        <v>138</v>
      </c>
      <c r="AL2" s="85">
        <v>9</v>
      </c>
      <c r="AM2" s="86">
        <v>-2.0127000000000002</v>
      </c>
      <c r="AN2" s="86">
        <v>2.4342000000000001</v>
      </c>
      <c r="AO2" s="86">
        <v>-0.30649999999999999</v>
      </c>
      <c r="AP2" s="86">
        <v>-5.4240000000000004</v>
      </c>
      <c r="AQ2" s="86">
        <v>-2.0129000000000001</v>
      </c>
      <c r="AR2" s="86">
        <v>-1.6805000000000001</v>
      </c>
      <c r="AS2" s="86">
        <v>-4.0812999999999997</v>
      </c>
      <c r="AT2" s="86">
        <v>5.8815999999999997</v>
      </c>
      <c r="AU2" s="86">
        <v>-1.6911</v>
      </c>
      <c r="AV2" s="86">
        <v>0.81600000000000006</v>
      </c>
      <c r="AW2" s="86">
        <v>0.81068000000000007</v>
      </c>
      <c r="AX2" s="86">
        <v>0.56000000000000005</v>
      </c>
      <c r="AY2" s="85">
        <v>1</v>
      </c>
      <c r="AZ2" s="86">
        <v>0.68</v>
      </c>
      <c r="BA2" s="85">
        <v>5</v>
      </c>
      <c r="BB2" s="86">
        <v>83.142859999999999</v>
      </c>
      <c r="BC2" s="85">
        <v>5</v>
      </c>
      <c r="BD2" s="86">
        <v>90.897059999999996</v>
      </c>
      <c r="BE2" s="85">
        <v>17</v>
      </c>
      <c r="BF2" s="86">
        <v>0.63</v>
      </c>
      <c r="BG2" s="85">
        <v>1</v>
      </c>
      <c r="BH2" s="86">
        <v>20</v>
      </c>
      <c r="BI2" s="85">
        <v>35</v>
      </c>
      <c r="BJ2" s="86">
        <v>0.12798000000000001</v>
      </c>
      <c r="BK2" s="86">
        <v>0.9226700000000001</v>
      </c>
      <c r="BL2" s="86">
        <v>0.12506</v>
      </c>
    </row>
    <row r="5" spans="1:64">
      <c r="A5" s="1"/>
      <c r="B5" s="1"/>
      <c r="C5" s="1"/>
      <c r="D5" s="1"/>
    </row>
  </sheetData>
  <sheetProtection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CA873-7F79-594F-A084-8266B6F90DE6}">
  <dimension ref="A1:Y4"/>
  <sheetViews>
    <sheetView topLeftCell="G1" workbookViewId="0">
      <selection activeCell="I2" sqref="I2"/>
    </sheetView>
  </sheetViews>
  <sheetFormatPr baseColWidth="10" defaultRowHeight="16"/>
  <cols>
    <col min="1" max="25" width="26.1640625" customWidth="1"/>
  </cols>
  <sheetData>
    <row r="1" spans="1:25" s="10" customFormat="1" ht="12.75" customHeight="1">
      <c r="A1" s="6" t="s">
        <v>33</v>
      </c>
      <c r="B1" s="6" t="s">
        <v>34</v>
      </c>
      <c r="C1" s="6" t="s">
        <v>35</v>
      </c>
      <c r="D1" s="6" t="s">
        <v>36</v>
      </c>
      <c r="E1" s="6" t="s">
        <v>37</v>
      </c>
      <c r="F1" s="6" t="s">
        <v>38</v>
      </c>
      <c r="G1" s="7"/>
      <c r="H1" s="7" t="s">
        <v>96</v>
      </c>
      <c r="I1" s="8" t="s">
        <v>97</v>
      </c>
      <c r="J1" s="8" t="s">
        <v>98</v>
      </c>
      <c r="K1" s="8" t="s">
        <v>99</v>
      </c>
      <c r="L1" s="7" t="s">
        <v>100</v>
      </c>
      <c r="M1" s="9" t="s">
        <v>101</v>
      </c>
      <c r="N1" s="7" t="s">
        <v>102</v>
      </c>
      <c r="O1" s="7" t="s">
        <v>103</v>
      </c>
      <c r="P1" s="7" t="s">
        <v>104</v>
      </c>
      <c r="Q1" s="7" t="s">
        <v>105</v>
      </c>
      <c r="R1" s="7" t="s">
        <v>106</v>
      </c>
      <c r="S1" s="7" t="s">
        <v>107</v>
      </c>
      <c r="T1" s="7" t="s">
        <v>108</v>
      </c>
      <c r="U1" s="7" t="s">
        <v>109</v>
      </c>
      <c r="V1" s="7" t="s">
        <v>110</v>
      </c>
      <c r="W1" s="7" t="s">
        <v>111</v>
      </c>
      <c r="X1" s="9" t="s">
        <v>112</v>
      </c>
      <c r="Y1" s="8" t="s">
        <v>113</v>
      </c>
    </row>
    <row r="2" spans="1:25" s="91" customFormat="1" ht="12.75" customHeight="1">
      <c r="A2" s="85">
        <v>833</v>
      </c>
      <c r="B2" s="82" t="s">
        <v>140</v>
      </c>
      <c r="C2" s="82" t="s">
        <v>141</v>
      </c>
      <c r="D2" s="82" t="s">
        <v>142</v>
      </c>
      <c r="E2" s="82"/>
      <c r="F2" s="82"/>
      <c r="H2" s="92">
        <v>1.8349999999999998E-3</v>
      </c>
      <c r="I2" s="100">
        <f>EXP(Coeff_1!AO2+(Coeff_1!AP2/(BioMass!G2*2.54)))</f>
        <v>0.67441938963847803</v>
      </c>
      <c r="J2" s="90">
        <f>EXP(Coeff_1!AQ2+(Coeff_1!AR2/(BioMass!G2*2.54)))</f>
        <v>0.13003133482580567</v>
      </c>
      <c r="K2" s="90">
        <f>EXP(Coeff_1!AS2+(Coeff_1!AT2/(BioMass!G2*2.54)))</f>
        <v>1.85641487363962E-2</v>
      </c>
      <c r="L2" s="91">
        <f>EXP(Coeff_1!AU2+(Coeff_1!AV2/(BioMass!G2*2.54)))</f>
        <v>0.18675627437896136</v>
      </c>
      <c r="M2" s="87">
        <f>(EXP(Coeff_1!AM2+(Coeff_1!AN2*(LN(BioMass!G2*2.54)))))*2.2046</f>
        <v>6811.4783117160114</v>
      </c>
      <c r="N2" s="87">
        <f t="shared" ref="N2" si="0">M2*I2</f>
        <v>4593.7930455232436</v>
      </c>
      <c r="O2" s="87">
        <f t="shared" ref="O2" si="1">M2*J2</f>
        <v>885.70561700945825</v>
      </c>
      <c r="P2" s="87">
        <f t="shared" ref="P2" si="2">N2+O2</f>
        <v>5479.4986625327019</v>
      </c>
      <c r="Q2" s="87">
        <f t="shared" ref="Q2" si="3">M2*K2</f>
        <v>126.44929649343291</v>
      </c>
      <c r="R2" s="87">
        <f t="shared" ref="R2" si="4">M2*L2</f>
        <v>1272.0863125091798</v>
      </c>
      <c r="S2" s="88">
        <f>0.005454153*(BioMass!G2^2)*((Coeff_1!BK2^2)+(5.62462*Coeff_1!BK2*Coeff_1!BL2)+(8.50038*(Coeff_1!BL2^2)))</f>
        <v>5.3175005345297111</v>
      </c>
      <c r="T2" s="88">
        <f>0.005454153*(BioMass!G2^2)*(1+(5.62462*Coeff_1!BJ2)+(8.50038*(Coeff_1!BJ2^2)))</f>
        <v>6.0525734016551302</v>
      </c>
      <c r="U2" s="88">
        <f>(T2-S2)*62.4*Coeff_1!AZ2</f>
        <v>31.190611897865789</v>
      </c>
      <c r="V2" s="89">
        <f>S2*62.4*Coeff_1!AX2</f>
        <v>185.81473867860623</v>
      </c>
      <c r="W2" s="90">
        <f t="shared" ref="W2" si="5">U2+V2</f>
        <v>217.00535057647201</v>
      </c>
      <c r="X2" s="87">
        <f t="shared" ref="X2" si="6">M2-N2-O2-Q2-W2</f>
        <v>988.52500211340453</v>
      </c>
      <c r="Y2" s="90">
        <f>BioMass!L2/P2</f>
        <v>0.96367388680535793</v>
      </c>
    </row>
    <row r="4" spans="1:25">
      <c r="B4" s="2"/>
    </row>
  </sheetData>
  <sheetProtection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93134-421D-9444-8BCB-D1AC3DE1F38E}">
  <dimension ref="B4:Q19"/>
  <sheetViews>
    <sheetView tabSelected="1" topLeftCell="B4" workbookViewId="0">
      <selection activeCell="L35" sqref="L34:L35"/>
    </sheetView>
  </sheetViews>
  <sheetFormatPr baseColWidth="10" defaultRowHeight="16"/>
  <sheetData>
    <row r="4" spans="2:17">
      <c r="B4" s="99" t="s">
        <v>148</v>
      </c>
      <c r="I4" t="s">
        <v>70</v>
      </c>
      <c r="L4" t="s">
        <v>71</v>
      </c>
      <c r="N4" t="s">
        <v>146</v>
      </c>
      <c r="Q4" t="s">
        <v>101</v>
      </c>
    </row>
    <row r="5" spans="2:17">
      <c r="B5" s="2" t="s">
        <v>147</v>
      </c>
      <c r="I5" s="86">
        <v>-2.0127000000000002</v>
      </c>
      <c r="L5" s="86">
        <v>2.4342000000000001</v>
      </c>
      <c r="N5">
        <f>2.036*12</f>
        <v>24.432000000000002</v>
      </c>
      <c r="Q5" s="2">
        <f>(EXP(I5+(L5*(LN(N5*2.54)))))*2.2046</f>
        <v>6811.4783117160114</v>
      </c>
    </row>
    <row r="7" spans="2:17">
      <c r="B7" t="s">
        <v>145</v>
      </c>
    </row>
    <row r="8" spans="2:17">
      <c r="J8" t="s">
        <v>149</v>
      </c>
      <c r="L8" t="s">
        <v>98</v>
      </c>
      <c r="N8" t="s">
        <v>99</v>
      </c>
      <c r="P8" t="s">
        <v>100</v>
      </c>
    </row>
    <row r="9" spans="2:17">
      <c r="J9">
        <f>Coeff_2!I2</f>
        <v>0.67441938963847803</v>
      </c>
      <c r="L9" s="90">
        <f>Coeff_2!J2</f>
        <v>0.13003133482580567</v>
      </c>
      <c r="N9">
        <v>1.85641487363962E-2</v>
      </c>
      <c r="P9">
        <v>0.18675627437896136</v>
      </c>
    </row>
    <row r="19" spans="9:9">
      <c r="I19" s="100" t="s">
        <v>150</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BioMass</vt:lpstr>
      <vt:lpstr>Coeff_1</vt:lpstr>
      <vt:lpstr>Coeff_2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2019-08-27T23:46:44Z</dcterms:created>
  <dcterms:modified xsi:type="dcterms:W3CDTF">2019-11-22T14:16:59Z</dcterms:modified>
</cp:coreProperties>
</file>