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1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Center Outreach\website\drupal\bedded pack publications\"/>
    </mc:Choice>
  </mc:AlternateContent>
  <bookViews>
    <workbookView xWindow="0" yWindow="0" windowWidth="28800" windowHeight="10800" tabRatio="844" activeTab="7"/>
  </bookViews>
  <sheets>
    <sheet name="Title" sheetId="1" r:id="rId1"/>
    <sheet name="Overview" sheetId="10" r:id="rId2"/>
    <sheet name="Inventory" sheetId="2" r:id="rId3"/>
    <sheet name="DeepBP_Facility" sheetId="3" r:id="rId4"/>
    <sheet name="DeepBP_Material" sheetId="4" r:id="rId5"/>
    <sheet name="DeepBP-L_Facility" sheetId="8" r:id="rId6"/>
    <sheet name="DeepBP-L_Material" sheetId="11" r:id="rId7"/>
    <sheet name="File_Report" sheetId="7" r:id="rId8"/>
    <sheet name="Data" sheetId="5" r:id="rId9"/>
    <sheet name="RefTable" sheetId="6" r:id="rId10"/>
  </sheets>
  <definedNames>
    <definedName name="_xlnm._FilterDatabase" localSheetId="8" hidden="1">Data!$A$6:$J$40</definedName>
    <definedName name="_xlnm._FilterDatabase" localSheetId="9" hidden="1">Data!#REF!</definedName>
    <definedName name="data">RefTable!$C$9:$I$43</definedName>
    <definedName name="dd_primary">RefTable!$A$9:$A$19</definedName>
    <definedName name="dd_secondary">RefTable!$C$8:$I$43</definedName>
    <definedName name="_xlnm.Print_Area" localSheetId="4">DeepBP_Material!$A$1:$L$67</definedName>
    <definedName name="_xlnm.Print_Area" localSheetId="6">'DeepBP-L_Material'!$A$1:$L$67</definedName>
    <definedName name="_xlnm.Print_Area" localSheetId="7">File_Report!$A$1:$P$69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5" i="5" l="1"/>
  <c r="N140" i="5"/>
  <c r="N135" i="5"/>
  <c r="N123" i="5"/>
  <c r="N113" i="5"/>
  <c r="N108" i="5"/>
  <c r="N104" i="5"/>
  <c r="N99" i="5"/>
  <c r="H50" i="11" l="1"/>
  <c r="H49" i="11"/>
  <c r="H48" i="11"/>
  <c r="H47" i="11"/>
  <c r="H46" i="11"/>
  <c r="H45" i="11"/>
  <c r="H44" i="11"/>
  <c r="H43" i="11"/>
  <c r="G50" i="11"/>
  <c r="G49" i="11"/>
  <c r="G48" i="11"/>
  <c r="G47" i="11"/>
  <c r="G46" i="11"/>
  <c r="G45" i="11"/>
  <c r="G44" i="11"/>
  <c r="F50" i="11"/>
  <c r="F49" i="11"/>
  <c r="F48" i="11"/>
  <c r="F47" i="11"/>
  <c r="F46" i="11"/>
  <c r="F45" i="11"/>
  <c r="F44" i="11"/>
  <c r="G43" i="11"/>
  <c r="F43" i="11"/>
  <c r="H50" i="4"/>
  <c r="H49" i="4"/>
  <c r="H48" i="4"/>
  <c r="H47" i="4"/>
  <c r="H46" i="4"/>
  <c r="H45" i="4"/>
  <c r="H44" i="4"/>
  <c r="G50" i="4"/>
  <c r="G49" i="4"/>
  <c r="G48" i="4"/>
  <c r="G47" i="4"/>
  <c r="G46" i="4"/>
  <c r="G45" i="4"/>
  <c r="G44" i="4"/>
  <c r="F50" i="4"/>
  <c r="F49" i="4"/>
  <c r="F48" i="4"/>
  <c r="F47" i="4"/>
  <c r="F46" i="4"/>
  <c r="F45" i="4"/>
  <c r="F44" i="4"/>
  <c r="G43" i="4"/>
  <c r="F43" i="4"/>
  <c r="A8" i="7" l="1"/>
  <c r="A41" i="7"/>
  <c r="A42" i="7"/>
  <c r="A43" i="7"/>
  <c r="A44" i="7"/>
  <c r="A45" i="7"/>
  <c r="A46" i="7"/>
  <c r="A47" i="7"/>
  <c r="A40" i="7"/>
  <c r="I41" i="7"/>
  <c r="I42" i="7"/>
  <c r="I43" i="7"/>
  <c r="I44" i="7"/>
  <c r="I45" i="7"/>
  <c r="I46" i="7"/>
  <c r="I47" i="7"/>
  <c r="I40" i="7"/>
  <c r="J50" i="11" l="1"/>
  <c r="L47" i="7" s="1"/>
  <c r="K50" i="11"/>
  <c r="D50" i="11"/>
  <c r="C50" i="11"/>
  <c r="J49" i="11"/>
  <c r="L46" i="7" s="1"/>
  <c r="K49" i="11"/>
  <c r="D49" i="11"/>
  <c r="C49" i="11"/>
  <c r="J48" i="11"/>
  <c r="L45" i="7" s="1"/>
  <c r="K48" i="11"/>
  <c r="D48" i="11"/>
  <c r="C48" i="11"/>
  <c r="J47" i="11"/>
  <c r="L44" i="7" s="1"/>
  <c r="K47" i="11"/>
  <c r="D47" i="11"/>
  <c r="C47" i="11"/>
  <c r="J46" i="11"/>
  <c r="L43" i="7" s="1"/>
  <c r="K46" i="11"/>
  <c r="D46" i="11"/>
  <c r="C46" i="11"/>
  <c r="J45" i="11"/>
  <c r="L42" i="7" s="1"/>
  <c r="K45" i="11"/>
  <c r="D45" i="11"/>
  <c r="C45" i="11"/>
  <c r="J44" i="11"/>
  <c r="L41" i="7" s="1"/>
  <c r="K44" i="11"/>
  <c r="D44" i="11"/>
  <c r="C44" i="11"/>
  <c r="J43" i="11"/>
  <c r="L40" i="7" s="1"/>
  <c r="K43" i="11"/>
  <c r="D43" i="11"/>
  <c r="C43" i="11"/>
  <c r="B32" i="2"/>
  <c r="C23" i="3"/>
  <c r="C23" i="8"/>
  <c r="L45" i="11" l="1"/>
  <c r="L49" i="11"/>
  <c r="L46" i="11"/>
  <c r="L50" i="11"/>
  <c r="K51" i="11"/>
  <c r="J62" i="11" s="1"/>
  <c r="J51" i="11"/>
  <c r="L44" i="11"/>
  <c r="L48" i="11"/>
  <c r="L47" i="11"/>
  <c r="L43" i="11"/>
  <c r="D44" i="4"/>
  <c r="D45" i="4"/>
  <c r="D46" i="4"/>
  <c r="D47" i="4"/>
  <c r="D48" i="4"/>
  <c r="D49" i="4"/>
  <c r="D50" i="4"/>
  <c r="C44" i="4"/>
  <c r="C45" i="4"/>
  <c r="C46" i="4"/>
  <c r="C47" i="4"/>
  <c r="C48" i="4"/>
  <c r="C49" i="4"/>
  <c r="C50" i="4"/>
  <c r="D43" i="4"/>
  <c r="C43" i="4"/>
  <c r="D52" i="11" l="1"/>
  <c r="J80" i="11" s="1"/>
  <c r="J81" i="11" s="1"/>
  <c r="L51" i="11"/>
  <c r="J63" i="11" s="1"/>
  <c r="F79" i="11" s="1"/>
  <c r="K48" i="4"/>
  <c r="J48" i="4"/>
  <c r="D45" i="7" s="1"/>
  <c r="J44" i="4"/>
  <c r="D41" i="7" s="1"/>
  <c r="J45" i="4"/>
  <c r="D42" i="7" s="1"/>
  <c r="J46" i="4"/>
  <c r="D43" i="7" s="1"/>
  <c r="J47" i="4"/>
  <c r="D44" i="7" s="1"/>
  <c r="J49" i="4"/>
  <c r="D46" i="7" s="1"/>
  <c r="J50" i="4"/>
  <c r="D47" i="7" s="1"/>
  <c r="J43" i="4"/>
  <c r="D40" i="7" s="1"/>
  <c r="K44" i="4"/>
  <c r="K45" i="4"/>
  <c r="K46" i="4"/>
  <c r="K47" i="4"/>
  <c r="K49" i="4"/>
  <c r="K50" i="4"/>
  <c r="K43" i="4"/>
  <c r="M84" i="5"/>
  <c r="J84" i="5"/>
  <c r="M83" i="5"/>
  <c r="J83" i="5"/>
  <c r="M82" i="5"/>
  <c r="J82" i="5"/>
  <c r="F81" i="11" l="1"/>
  <c r="F80" i="11"/>
  <c r="C37" i="8"/>
  <c r="G52" i="8" s="1"/>
  <c r="C34" i="8" l="1"/>
  <c r="G39" i="8" l="1"/>
  <c r="C26" i="8"/>
  <c r="B26" i="8"/>
  <c r="A26" i="8"/>
  <c r="C25" i="8"/>
  <c r="B25" i="8"/>
  <c r="A25" i="8"/>
  <c r="C24" i="8"/>
  <c r="B24" i="8"/>
  <c r="A24" i="8"/>
  <c r="B23" i="8"/>
  <c r="A23" i="8"/>
  <c r="C22" i="8"/>
  <c r="B22" i="8"/>
  <c r="A22" i="8"/>
  <c r="C21" i="8"/>
  <c r="B21" i="8"/>
  <c r="A21" i="8"/>
  <c r="G13" i="8"/>
  <c r="B13" i="8"/>
  <c r="A13" i="8"/>
  <c r="G12" i="8"/>
  <c r="B12" i="8"/>
  <c r="A12" i="8"/>
  <c r="G11" i="8"/>
  <c r="B11" i="8"/>
  <c r="A11" i="8"/>
  <c r="G10" i="8"/>
  <c r="B10" i="8"/>
  <c r="A10" i="8"/>
  <c r="G9" i="8"/>
  <c r="B9" i="8"/>
  <c r="A9" i="8"/>
  <c r="G8" i="8"/>
  <c r="B8" i="8"/>
  <c r="A8" i="8"/>
  <c r="E13" i="8" l="1" a="1"/>
  <c r="E13" i="8" s="1"/>
  <c r="E9" i="8" a="1"/>
  <c r="E9" i="8" s="1"/>
  <c r="D25" i="8" a="1"/>
  <c r="D25" i="8" s="1"/>
  <c r="F25" i="8" s="1"/>
  <c r="D11" i="8" a="1"/>
  <c r="D11" i="8" s="1"/>
  <c r="D9" i="8" a="1"/>
  <c r="D9" i="8" s="1"/>
  <c r="D24" i="8" a="1"/>
  <c r="D24" i="8" s="1"/>
  <c r="F24" i="8" s="1"/>
  <c r="D23" i="8" a="1"/>
  <c r="D23" i="8" s="1"/>
  <c r="F23" i="8" s="1"/>
  <c r="D22" i="8" a="1"/>
  <c r="D22" i="8" s="1"/>
  <c r="F22" i="8" s="1"/>
  <c r="E8" i="8" a="1"/>
  <c r="E8" i="8" s="1"/>
  <c r="E11" i="8" a="1"/>
  <c r="E11" i="8" s="1"/>
  <c r="D26" i="8" a="1"/>
  <c r="D26" i="8" s="1"/>
  <c r="F26" i="8" s="1"/>
  <c r="D10" i="8" a="1"/>
  <c r="D10" i="8" s="1"/>
  <c r="D13" i="8" a="1"/>
  <c r="D13" i="8" s="1"/>
  <c r="D12" i="8" a="1"/>
  <c r="D12" i="8" s="1"/>
  <c r="F13" i="8" a="1"/>
  <c r="F13" i="8" s="1"/>
  <c r="F11" i="8" a="1"/>
  <c r="F11" i="8" s="1"/>
  <c r="F9" i="8" a="1"/>
  <c r="F9" i="8" s="1"/>
  <c r="E10" i="8" a="1"/>
  <c r="E10" i="8" s="1"/>
  <c r="F10" i="8" a="1"/>
  <c r="F10" i="8" s="1"/>
  <c r="E12" i="8" a="1"/>
  <c r="E12" i="8" s="1"/>
  <c r="F12" i="8" a="1"/>
  <c r="F12" i="8" s="1"/>
  <c r="D21" i="8" a="1"/>
  <c r="D21" i="8" s="1"/>
  <c r="F21" i="8" s="1"/>
  <c r="F8" i="8" a="1"/>
  <c r="F8" i="8" s="1"/>
  <c r="D8" i="8" a="1"/>
  <c r="D8" i="8" s="1"/>
  <c r="F28" i="8" l="1"/>
  <c r="J20" i="7"/>
  <c r="J21" i="7"/>
  <c r="J22" i="7"/>
  <c r="J23" i="7"/>
  <c r="J24" i="7"/>
  <c r="J19" i="7"/>
  <c r="E21" i="7"/>
  <c r="E22" i="7"/>
  <c r="E23" i="7"/>
  <c r="E24" i="7"/>
  <c r="E20" i="7"/>
  <c r="E19" i="7"/>
  <c r="C20" i="7"/>
  <c r="C21" i="7"/>
  <c r="C22" i="7"/>
  <c r="C23" i="7"/>
  <c r="C24" i="7"/>
  <c r="C19" i="7"/>
  <c r="I13" i="7"/>
  <c r="I11" i="7"/>
  <c r="C13" i="7"/>
  <c r="C12" i="7"/>
  <c r="C11" i="7"/>
  <c r="D29" i="11" l="1"/>
  <c r="O26" i="7"/>
  <c r="L44" i="4"/>
  <c r="L45" i="4"/>
  <c r="L46" i="4"/>
  <c r="L47" i="4"/>
  <c r="L48" i="4"/>
  <c r="L49" i="4"/>
  <c r="L50" i="4"/>
  <c r="L43" i="4"/>
  <c r="J51" i="4" l="1"/>
  <c r="K51" i="4"/>
  <c r="D52" i="4" s="1"/>
  <c r="L51" i="4"/>
  <c r="J63" i="4" s="1"/>
  <c r="C22" i="3"/>
  <c r="C24" i="3"/>
  <c r="C25" i="3"/>
  <c r="C26" i="3"/>
  <c r="C21" i="3"/>
  <c r="B22" i="3"/>
  <c r="B23" i="3"/>
  <c r="B24" i="3"/>
  <c r="B25" i="3"/>
  <c r="B26" i="3"/>
  <c r="B21" i="3"/>
  <c r="A22" i="3"/>
  <c r="A23" i="3"/>
  <c r="A24" i="3"/>
  <c r="A25" i="3"/>
  <c r="A26" i="3"/>
  <c r="A21" i="3"/>
  <c r="A8" i="3"/>
  <c r="G39" i="3"/>
  <c r="G9" i="3"/>
  <c r="G10" i="3"/>
  <c r="G11" i="3"/>
  <c r="G12" i="3"/>
  <c r="G13" i="3"/>
  <c r="G8" i="3"/>
  <c r="I19" i="7"/>
  <c r="D26" i="3" l="1" a="1"/>
  <c r="D26" i="3" s="1"/>
  <c r="E26" i="3" s="1"/>
  <c r="J62" i="4"/>
  <c r="F79" i="4" s="1"/>
  <c r="F81" i="4" s="1"/>
  <c r="J80" i="4"/>
  <c r="J81" i="4" s="1"/>
  <c r="D21" i="3" a="1"/>
  <c r="D21" i="3" s="1"/>
  <c r="E21" i="3" s="1"/>
  <c r="D25" i="3" a="1"/>
  <c r="D25" i="3" s="1"/>
  <c r="E25" i="3" s="1"/>
  <c r="D23" i="3" a="1"/>
  <c r="D23" i="3" s="1"/>
  <c r="E23" i="3" s="1"/>
  <c r="D24" i="3" a="1"/>
  <c r="D24" i="3" s="1"/>
  <c r="E24" i="3" s="1"/>
  <c r="D22" i="3" a="1"/>
  <c r="D22" i="3" s="1"/>
  <c r="E22" i="3" s="1"/>
  <c r="F80" i="4" l="1"/>
  <c r="E28" i="3"/>
  <c r="E29" i="11" l="1"/>
  <c r="H29" i="11" s="1"/>
  <c r="J29" i="11" s="1"/>
  <c r="G26" i="7"/>
  <c r="D29" i="4"/>
  <c r="E29" i="4" s="1"/>
  <c r="I29" i="11" l="1"/>
  <c r="H29" i="4"/>
  <c r="I29" i="4" s="1"/>
  <c r="B9" i="3"/>
  <c r="B10" i="3"/>
  <c r="B11" i="3"/>
  <c r="B12" i="3"/>
  <c r="B13" i="3"/>
  <c r="B8" i="3"/>
  <c r="D8" i="3" s="1" a="1"/>
  <c r="D8" i="3" s="1"/>
  <c r="A9" i="3"/>
  <c r="A10" i="3"/>
  <c r="A11" i="3"/>
  <c r="A12" i="3"/>
  <c r="A13" i="3"/>
  <c r="B31" i="2"/>
  <c r="B33" i="2"/>
  <c r="B34" i="2"/>
  <c r="B35" i="2"/>
  <c r="B30" i="2"/>
  <c r="K69" i="11" l="1"/>
  <c r="N42" i="7" s="1"/>
  <c r="N37" i="7"/>
  <c r="F37" i="7"/>
  <c r="K69" i="4"/>
  <c r="F42" i="7" s="1"/>
  <c r="J29" i="4"/>
  <c r="F10" i="3" a="1"/>
  <c r="F10" i="3" s="1"/>
  <c r="E10" i="3" a="1"/>
  <c r="E10" i="3" s="1"/>
  <c r="D10" i="3" a="1"/>
  <c r="D10" i="3" s="1"/>
  <c r="E12" i="3" a="1"/>
  <c r="E12" i="3" s="1"/>
  <c r="D12" i="3" a="1"/>
  <c r="D12" i="3" s="1"/>
  <c r="F12" i="3" a="1"/>
  <c r="F12" i="3" s="1"/>
  <c r="E11" i="3" a="1"/>
  <c r="E11" i="3" s="1"/>
  <c r="D11" i="3" a="1"/>
  <c r="D11" i="3" s="1"/>
  <c r="F11" i="3" a="1"/>
  <c r="F11" i="3" s="1"/>
  <c r="D13" i="3" a="1"/>
  <c r="D13" i="3" s="1"/>
  <c r="E13" i="3" a="1"/>
  <c r="E13" i="3" s="1"/>
  <c r="F13" i="3" a="1"/>
  <c r="F13" i="3" s="1"/>
  <c r="F8" i="3" a="1"/>
  <c r="F8" i="3" s="1"/>
  <c r="E8" i="3" a="1"/>
  <c r="E8" i="3" s="1"/>
  <c r="F9" i="3" a="1"/>
  <c r="F9" i="3" s="1"/>
  <c r="E9" i="3" a="1"/>
  <c r="E9" i="3" s="1"/>
  <c r="D9" i="3" a="1"/>
  <c r="D9" i="3" s="1"/>
  <c r="G19" i="2" a="1"/>
  <c r="G19" i="2" s="1"/>
  <c r="I20" i="7" s="1"/>
  <c r="G20" i="2" a="1"/>
  <c r="G20" i="2" s="1"/>
  <c r="I21" i="7" s="1"/>
  <c r="G21" i="2" a="1"/>
  <c r="G21" i="2" s="1"/>
  <c r="I22" i="7" s="1"/>
  <c r="G22" i="2" a="1"/>
  <c r="G22" i="2" s="1"/>
  <c r="I23" i="7" s="1"/>
  <c r="G23" i="2" a="1"/>
  <c r="G23" i="2" s="1"/>
  <c r="I24" i="7" s="1"/>
  <c r="L11" i="6"/>
  <c r="O11" i="6" s="1" a="1"/>
  <c r="O11" i="6" s="1"/>
  <c r="L10" i="6"/>
  <c r="N10" i="6" s="1" a="1"/>
  <c r="N10" i="6" s="1"/>
  <c r="L9" i="6"/>
  <c r="O9" i="6" s="1" a="1"/>
  <c r="O9" i="6" s="1"/>
  <c r="L8" i="6"/>
  <c r="O8" i="6" s="1" a="1"/>
  <c r="O8" i="6" s="1"/>
  <c r="L7" i="6"/>
  <c r="U7" i="6" s="1" a="1"/>
  <c r="U7" i="6" s="1"/>
  <c r="L6" i="6"/>
  <c r="R6" i="6" s="1" a="1"/>
  <c r="R6" i="6" s="1"/>
  <c r="T11" i="6" l="1" a="1"/>
  <c r="T11" i="6" s="1"/>
  <c r="Q11" i="6" a="1"/>
  <c r="Q11" i="6" s="1"/>
  <c r="Q7" i="6" a="1"/>
  <c r="Q7" i="6" s="1"/>
  <c r="N7" i="6" a="1"/>
  <c r="N7" i="6" s="1"/>
  <c r="T7" i="6" a="1"/>
  <c r="T7" i="6" s="1"/>
  <c r="S7" i="6" a="1"/>
  <c r="S7" i="6" s="1"/>
  <c r="P7" i="6" a="1"/>
  <c r="P7" i="6" s="1"/>
  <c r="U11" i="6" a="1"/>
  <c r="U11" i="6" s="1"/>
  <c r="P11" i="6" a="1"/>
  <c r="P11" i="6" s="1"/>
  <c r="N11" i="6" a="1"/>
  <c r="N11" i="6" s="1"/>
  <c r="S11" i="6" a="1"/>
  <c r="S11" i="6" s="1"/>
  <c r="R11" i="6" a="1"/>
  <c r="R11" i="6" s="1"/>
  <c r="U10" i="6" a="1"/>
  <c r="U10" i="6" s="1"/>
  <c r="P10" i="6" a="1"/>
  <c r="P10" i="6" s="1"/>
  <c r="R10" i="6" a="1"/>
  <c r="R10" i="6" s="1"/>
  <c r="O10" i="6" a="1"/>
  <c r="O10" i="6" s="1"/>
  <c r="T10" i="6" a="1"/>
  <c r="T10" i="6" s="1"/>
  <c r="Q10" i="6" a="1"/>
  <c r="Q10" i="6" s="1"/>
  <c r="S10" i="6" a="1"/>
  <c r="S10" i="6" s="1"/>
  <c r="T8" i="6" a="1"/>
  <c r="T8" i="6" s="1"/>
  <c r="P8" i="6" a="1"/>
  <c r="P8" i="6" s="1"/>
  <c r="S8" i="6" a="1"/>
  <c r="S8" i="6" s="1"/>
  <c r="N8" i="6" a="1"/>
  <c r="N8" i="6" s="1"/>
  <c r="Q8" i="6" a="1"/>
  <c r="Q8" i="6" s="1"/>
  <c r="U8" i="6" a="1"/>
  <c r="U8" i="6" s="1"/>
  <c r="N9" i="6" a="1"/>
  <c r="N9" i="6" s="1"/>
  <c r="R9" i="6" a="1"/>
  <c r="R9" i="6" s="1"/>
  <c r="U9" i="6" a="1"/>
  <c r="U9" i="6" s="1"/>
  <c r="Q9" i="6" a="1"/>
  <c r="Q9" i="6" s="1"/>
  <c r="T9" i="6" a="1"/>
  <c r="T9" i="6" s="1"/>
  <c r="P9" i="6" a="1"/>
  <c r="P9" i="6" s="1"/>
  <c r="S9" i="6" a="1"/>
  <c r="S9" i="6" s="1"/>
  <c r="R8" i="6" a="1"/>
  <c r="R8" i="6" s="1"/>
  <c r="O7" i="6" a="1"/>
  <c r="O7" i="6" s="1"/>
  <c r="R7" i="6" a="1"/>
  <c r="R7" i="6" s="1"/>
  <c r="T6" i="6" a="1"/>
  <c r="T6" i="6" s="1"/>
  <c r="W6" i="6" a="1"/>
  <c r="W6" i="6" s="1"/>
  <c r="N6" i="6" a="1"/>
  <c r="N6" i="6" s="1"/>
  <c r="V6" i="6" a="1"/>
  <c r="V6" i="6" s="1"/>
  <c r="S6" i="6" a="1"/>
  <c r="S6" i="6" s="1"/>
  <c r="U6" i="6" a="1"/>
  <c r="U6" i="6" s="1"/>
  <c r="O6" i="6" a="1"/>
  <c r="O6" i="6" s="1"/>
  <c r="Q6" i="6" a="1"/>
  <c r="Q6" i="6" s="1"/>
  <c r="P6" i="6" a="1"/>
  <c r="P6" i="6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L8" i="2"/>
  <c r="C11" i="3" l="1"/>
  <c r="I11" i="3" s="1"/>
  <c r="I22" i="3" s="1"/>
  <c r="I34" i="3" s="1"/>
  <c r="I46" i="3" s="1"/>
  <c r="C11" i="8"/>
  <c r="C13" i="3"/>
  <c r="H13" i="3" s="1"/>
  <c r="H24" i="3" s="1"/>
  <c r="H36" i="3" s="1"/>
  <c r="H48" i="3" s="1"/>
  <c r="J48" i="3" s="1"/>
  <c r="C13" i="8"/>
  <c r="C10" i="3"/>
  <c r="H10" i="3" s="1"/>
  <c r="H21" i="3" s="1"/>
  <c r="H33" i="3" s="1"/>
  <c r="H45" i="3" s="1"/>
  <c r="J45" i="3" s="1"/>
  <c r="C10" i="8"/>
  <c r="C12" i="3"/>
  <c r="H12" i="3" s="1"/>
  <c r="H23" i="3" s="1"/>
  <c r="H35" i="3" s="1"/>
  <c r="H47" i="3" s="1"/>
  <c r="J47" i="3" s="1"/>
  <c r="C12" i="8"/>
  <c r="C9" i="3"/>
  <c r="I9" i="3" s="1"/>
  <c r="I20" i="3" s="1"/>
  <c r="I32" i="3" s="1"/>
  <c r="I44" i="3" s="1"/>
  <c r="C9" i="8"/>
  <c r="I12" i="3"/>
  <c r="I23" i="3" s="1"/>
  <c r="I35" i="3" s="1"/>
  <c r="I47" i="3" s="1"/>
  <c r="C8" i="3"/>
  <c r="C8" i="8"/>
  <c r="I13" i="3" l="1"/>
  <c r="I24" i="3" s="1"/>
  <c r="I36" i="3" s="1"/>
  <c r="I48" i="3" s="1"/>
  <c r="I10" i="3"/>
  <c r="I21" i="3" s="1"/>
  <c r="I33" i="3" s="1"/>
  <c r="I45" i="3" s="1"/>
  <c r="H11" i="3"/>
  <c r="H22" i="3" s="1"/>
  <c r="H34" i="3" s="1"/>
  <c r="H46" i="3" s="1"/>
  <c r="J46" i="3" s="1"/>
  <c r="I12" i="8"/>
  <c r="I23" i="8" s="1"/>
  <c r="I35" i="8" s="1"/>
  <c r="I47" i="8" s="1"/>
  <c r="H12" i="8"/>
  <c r="H23" i="8" s="1"/>
  <c r="H35" i="8" s="1"/>
  <c r="H47" i="8" s="1"/>
  <c r="I13" i="8"/>
  <c r="I24" i="8" s="1"/>
  <c r="I36" i="8" s="1"/>
  <c r="I48" i="8" s="1"/>
  <c r="H13" i="8"/>
  <c r="H24" i="8" s="1"/>
  <c r="H36" i="8" s="1"/>
  <c r="H48" i="8" s="1"/>
  <c r="I10" i="8"/>
  <c r="I21" i="8" s="1"/>
  <c r="I33" i="8" s="1"/>
  <c r="I45" i="8" s="1"/>
  <c r="H10" i="8"/>
  <c r="H21" i="8" s="1"/>
  <c r="H33" i="8" s="1"/>
  <c r="H45" i="8" s="1"/>
  <c r="I11" i="8"/>
  <c r="I22" i="8" s="1"/>
  <c r="I34" i="8" s="1"/>
  <c r="I46" i="8" s="1"/>
  <c r="H11" i="8"/>
  <c r="H22" i="8" s="1"/>
  <c r="H34" i="8" s="1"/>
  <c r="H46" i="8" s="1"/>
  <c r="H9" i="3"/>
  <c r="H20" i="3" s="1"/>
  <c r="H32" i="3" s="1"/>
  <c r="H44" i="3" s="1"/>
  <c r="J44" i="3" s="1"/>
  <c r="I9" i="8"/>
  <c r="I20" i="8" s="1"/>
  <c r="I32" i="8" s="1"/>
  <c r="I44" i="8" s="1"/>
  <c r="H9" i="8"/>
  <c r="H20" i="8" s="1"/>
  <c r="H32" i="8" s="1"/>
  <c r="H44" i="8" s="1"/>
  <c r="I8" i="8"/>
  <c r="I19" i="8" s="1"/>
  <c r="I31" i="8" s="1"/>
  <c r="I43" i="8" s="1"/>
  <c r="G56" i="8" s="1"/>
  <c r="I56" i="8" s="1"/>
  <c r="H8" i="8"/>
  <c r="H19" i="8" s="1"/>
  <c r="H31" i="8" s="1"/>
  <c r="H43" i="8" s="1"/>
  <c r="H56" i="8" s="1"/>
  <c r="J56" i="8" s="1"/>
  <c r="I8" i="3"/>
  <c r="I19" i="3" s="1"/>
  <c r="I31" i="3" s="1"/>
  <c r="I43" i="3" s="1"/>
  <c r="H8" i="3"/>
  <c r="H19" i="3" s="1"/>
  <c r="H31" i="3" s="1"/>
  <c r="H43" i="3" s="1"/>
  <c r="J43" i="3" s="1"/>
  <c r="I49" i="3" l="1"/>
  <c r="C31" i="7" s="1"/>
  <c r="J46" i="8"/>
  <c r="H59" i="8"/>
  <c r="J59" i="8" s="1"/>
  <c r="J48" i="8"/>
  <c r="H61" i="8"/>
  <c r="J61" i="8" s="1"/>
  <c r="G59" i="8"/>
  <c r="I59" i="8" s="1"/>
  <c r="G61" i="8"/>
  <c r="I61" i="8" s="1"/>
  <c r="J45" i="8"/>
  <c r="H58" i="8"/>
  <c r="J58" i="8" s="1"/>
  <c r="J47" i="8"/>
  <c r="H60" i="8"/>
  <c r="J60" i="8" s="1"/>
  <c r="G58" i="8"/>
  <c r="I58" i="8" s="1"/>
  <c r="G60" i="8"/>
  <c r="I60" i="8" s="1"/>
  <c r="J44" i="8"/>
  <c r="H57" i="8"/>
  <c r="J57" i="8" s="1"/>
  <c r="G57" i="8"/>
  <c r="I57" i="8" s="1"/>
  <c r="I49" i="8"/>
  <c r="J49" i="3"/>
  <c r="E31" i="7" s="1"/>
  <c r="H49" i="3"/>
  <c r="A31" i="7" s="1"/>
  <c r="J43" i="8"/>
  <c r="H49" i="8"/>
  <c r="H62" i="8" s="1"/>
  <c r="J59" i="11" l="1"/>
  <c r="I31" i="7"/>
  <c r="J60" i="4"/>
  <c r="J62" i="8"/>
  <c r="J49" i="8"/>
  <c r="G62" i="8"/>
  <c r="J59" i="4"/>
  <c r="J60" i="11" l="1"/>
  <c r="H66" i="11" s="1" a="1"/>
  <c r="H66" i="11" s="1"/>
  <c r="M31" i="7"/>
  <c r="I62" i="8"/>
  <c r="K31" i="7" s="1"/>
  <c r="K33" i="7"/>
  <c r="F75" i="4"/>
  <c r="H66" i="4" a="1"/>
  <c r="H66" i="4" s="1"/>
  <c r="F75" i="11" l="1"/>
  <c r="F76" i="11" s="1"/>
  <c r="H67" i="4"/>
  <c r="F45" i="7"/>
  <c r="H67" i="11"/>
  <c r="N45" i="7"/>
  <c r="F76" i="4"/>
  <c r="F77" i="4"/>
  <c r="F77" i="11" l="1"/>
  <c r="F83" i="11" s="1"/>
  <c r="N47" i="7" s="1"/>
  <c r="F83" i="4"/>
  <c r="F47" i="7" s="1"/>
</calcChain>
</file>

<file path=xl/comments1.xml><?xml version="1.0" encoding="utf-8"?>
<comments xmlns="http://schemas.openxmlformats.org/spreadsheetml/2006/main">
  <authors>
    <author>Bredeweg, Sally - NRCS, Portland, OR</author>
  </authors>
  <commentList>
    <comment ref="F27" authorId="0" shapeId="0">
      <text>
        <r>
          <rPr>
            <sz val="9"/>
            <color indexed="81"/>
            <rFont val="Tahoma"/>
            <family val="2"/>
          </rPr>
          <t xml:space="preserve">Use 420 lbs/CY unless better data is available. Dry wood chip weight estimated from Forest Service 2013 paper on wood chip transport.   </t>
        </r>
      </text>
    </comment>
    <comment ref="G27" authorId="0" shapeId="0">
      <text>
        <r>
          <rPr>
            <sz val="9"/>
            <color indexed="81"/>
            <rFont val="Tahoma"/>
            <family val="2"/>
          </rPr>
          <t>Use $5/CY unless better data is available.  This bulk cost was based on equine facilities costs.</t>
        </r>
      </text>
    </comment>
  </commentList>
</comments>
</file>

<file path=xl/comments2.xml><?xml version="1.0" encoding="utf-8"?>
<comments xmlns="http://schemas.openxmlformats.org/spreadsheetml/2006/main">
  <authors>
    <author>Bredeweg, Sally - NRCS, Portland, OR</author>
  </authors>
  <commentList>
    <comment ref="E18" authorId="0" shapeId="0">
      <text>
        <r>
          <rPr>
            <sz val="9"/>
            <color indexed="81"/>
            <rFont val="Tahoma"/>
            <family val="2"/>
          </rPr>
          <t>This area will be scraped into a designed manure storage area. With alley feeding the pack space required per animal is reduced accordingly. Initial est. for feed alley is 12 ft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per livestock head (can be revised).</t>
        </r>
      </text>
    </comment>
  </commentList>
</comments>
</file>

<file path=xl/comments3.xml><?xml version="1.0" encoding="utf-8"?>
<comments xmlns="http://schemas.openxmlformats.org/spreadsheetml/2006/main">
  <authors>
    <author>Bredeweg, Sally - NRCS, Portland, OR</author>
  </authors>
  <commentList>
    <comment ref="F27" authorId="0" shapeId="0">
      <text>
        <r>
          <rPr>
            <sz val="9"/>
            <color indexed="81"/>
            <rFont val="Tahoma"/>
            <family val="2"/>
          </rPr>
          <t xml:space="preserve">Use 420 lbs/CY unless better data is available. Dry wood chip weight estimated from Forest Service 2013 paper on wood chip transport.   </t>
        </r>
      </text>
    </comment>
    <comment ref="G27" authorId="0" shapeId="0">
      <text>
        <r>
          <rPr>
            <sz val="9"/>
            <color indexed="81"/>
            <rFont val="Tahoma"/>
            <family val="2"/>
          </rPr>
          <t>Use $5/CY unless better data is available.  This bulk cost was based on equine facilities costs.</t>
        </r>
      </text>
    </comment>
  </commentList>
</comments>
</file>

<file path=xl/sharedStrings.xml><?xml version="1.0" encoding="utf-8"?>
<sst xmlns="http://schemas.openxmlformats.org/spreadsheetml/2006/main" count="968" uniqueCount="506">
  <si>
    <t>Animal Data</t>
  </si>
  <si>
    <r>
      <rPr>
        <sz val="11"/>
        <color rgb="FF000000"/>
        <rFont val="Calibri"/>
        <family val="2"/>
        <scheme val="minor"/>
      </rPr>
      <t>Min. pack space per animal,</t>
    </r>
    <r>
      <rPr>
        <b/>
        <sz val="11"/>
        <color rgb="FF000000"/>
        <rFont val="Calibri"/>
        <family val="2"/>
        <scheme val="minor"/>
      </rPr>
      <t xml:space="preserve"> ft</t>
    </r>
    <r>
      <rPr>
        <b/>
        <vertAlign val="super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/animal</t>
    </r>
    <r>
      <rPr>
        <sz val="10"/>
        <color theme="1"/>
        <rFont val="Calibri"/>
        <family val="2"/>
        <scheme val="minor"/>
      </rPr>
      <t xml:space="preserve"> </t>
    </r>
  </si>
  <si>
    <t>Look up data</t>
  </si>
  <si>
    <t>Feces and Urine, Total</t>
  </si>
  <si>
    <t>Manure for 1000 lb. A.U.</t>
  </si>
  <si>
    <t>Animal Type</t>
  </si>
  <si>
    <t>Description</t>
  </si>
  <si>
    <t>Wt., lb./day</t>
  </si>
  <si>
    <r>
      <t>Vol, Ft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/day</t>
    </r>
  </si>
  <si>
    <t>%MC</t>
  </si>
  <si>
    <t>Beef</t>
  </si>
  <si>
    <t>Cow and growing calf</t>
  </si>
  <si>
    <t>Backgrounding (Calf 6 to 12 mo.)</t>
  </si>
  <si>
    <t>Finishing</t>
  </si>
  <si>
    <t>Horse</t>
  </si>
  <si>
    <t>Sedentary</t>
  </si>
  <si>
    <t>Llama</t>
  </si>
  <si>
    <t>Swine</t>
  </si>
  <si>
    <t>Boar</t>
  </si>
  <si>
    <t>Gestating Sow</t>
  </si>
  <si>
    <t>Gilt</t>
  </si>
  <si>
    <t>Grower</t>
  </si>
  <si>
    <t>Lactating Sow</t>
  </si>
  <si>
    <t>Nursery Pig</t>
  </si>
  <si>
    <t>Goat</t>
  </si>
  <si>
    <t xml:space="preserve">Lactating </t>
  </si>
  <si>
    <t>Dry (pregnant)</t>
  </si>
  <si>
    <t>Kids</t>
  </si>
  <si>
    <t>Sheep</t>
  </si>
  <si>
    <t>Lamb (Market)</t>
  </si>
  <si>
    <t>Reference Sources</t>
  </si>
  <si>
    <t>NRCS National Engineering Handbook, Agricultural Waste Management Field Handbook, Chapter 4, Agricultural Waste Characteristics</t>
  </si>
  <si>
    <t>Midwest Plan Service, Manure Management System Series, MWPS-18, Section 1</t>
  </si>
  <si>
    <t>Quantifying Nutrients from Goats and Sheep in the Chesapeake Bay Watershed, ASABE Technical Note, 2010</t>
  </si>
  <si>
    <t>Manure nutrient excretion by Jersey and Holstein cows, K. F. Knowlton, V. A. Wilkerson, D. P. Casper, and D. R. Mertens, J. Dairy Sci. 93:407-412, 2010</t>
  </si>
  <si>
    <t>PIA Piggery Size Calculator; Adam Reed, PIA Agronomist, Honolulu, HI</t>
  </si>
  <si>
    <t>Recommended space 
requirements for piggeries*</t>
  </si>
  <si>
    <t>Weight of Pig</t>
  </si>
  <si>
    <r>
      <t>Min Space Req. (ft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/hd)</t>
    </r>
  </si>
  <si>
    <t>Sow Gestating</t>
  </si>
  <si>
    <t>Sow Lactating**</t>
  </si>
  <si>
    <t>*Adapted from the University of Florida ExtensionPublication RFAA082 and MWPS8 Iowa State.</t>
  </si>
  <si>
    <t>**Most Typical size for farrowing and lactating sows in PIA.</t>
  </si>
  <si>
    <t>Bulletin #1021, Space Planning for Small Multiprupose Livestock Barns,</t>
  </si>
  <si>
    <t>By, Extension Professor Donna Coffin, University of Maine, 2013</t>
  </si>
  <si>
    <t>Bedding Material</t>
  </si>
  <si>
    <t>Corn Stover</t>
  </si>
  <si>
    <t>Leaves (fall dry)</t>
  </si>
  <si>
    <t>Shredded Brush</t>
  </si>
  <si>
    <t xml:space="preserve">Straw (wheat) </t>
  </si>
  <si>
    <t>DEEP-BED-PACK</t>
  </si>
  <si>
    <t>LIVESTOCK FACILITY PLANNER</t>
  </si>
  <si>
    <t>Location:</t>
  </si>
  <si>
    <t>Landowner Name:</t>
  </si>
  <si>
    <t>Cooperator Information</t>
  </si>
  <si>
    <t>Planner:</t>
  </si>
  <si>
    <t>NRCS Staff Initials</t>
  </si>
  <si>
    <t>Date of Plan:</t>
  </si>
  <si>
    <t>Project/Farm Name:</t>
  </si>
  <si>
    <t>Lb. milk per year</t>
  </si>
  <si>
    <t>Lb. milk per day</t>
  </si>
  <si>
    <t>Days lactating cow</t>
  </si>
  <si>
    <t>Calculate dairy cow milk production on a daily basis for planning purposes</t>
  </si>
  <si>
    <t xml:space="preserve">   How to Convert: lb. milk per yr. into lb. milk per day</t>
  </si>
  <si>
    <t xml:space="preserve">   * Lactation period typically 305 days per year</t>
  </si>
  <si>
    <t xml:space="preserve">   (Dry period period typically 60 days during final gestation)</t>
  </si>
  <si>
    <t xml:space="preserve">           Lb. milk per yr./ 305 days = avg. lb. milk per day </t>
  </si>
  <si>
    <t>Data entry cell</t>
  </si>
  <si>
    <t>From the drop down lists select the type and description of animals planned for housing in the bedded pack facility</t>
  </si>
  <si>
    <t>Number of animals</t>
  </si>
  <si>
    <t>Animal Units = 1000 lb A.U.</t>
  </si>
  <si>
    <t>Total Weight</t>
  </si>
  <si>
    <t>A.U. of Animal Type</t>
  </si>
  <si>
    <t>Weight, Lb.</t>
  </si>
  <si>
    <t>Lactating - 40 lb milk/d</t>
  </si>
  <si>
    <t>Lactating - 30 lb milk/d</t>
  </si>
  <si>
    <t>Lactating - 45 lb milk/d</t>
  </si>
  <si>
    <t>Lactating - 50 lb milk/d</t>
  </si>
  <si>
    <t>Lactating - 60 lb milk/d</t>
  </si>
  <si>
    <t>Lactating - 75 lb milk/d</t>
  </si>
  <si>
    <t>Lactating - 100 lb milk/d</t>
  </si>
  <si>
    <t>Lactating - 125 lb milk/d</t>
  </si>
  <si>
    <t>Dairy, Holstein</t>
  </si>
  <si>
    <t>Dry Cow (pregnant)</t>
  </si>
  <si>
    <t>Calves (&lt; 6 months)</t>
  </si>
  <si>
    <t>Dairy, Jersey</t>
  </si>
  <si>
    <t>Heifer (6 - 18 months)</t>
  </si>
  <si>
    <t>Animal Weight, typical LBS</t>
  </si>
  <si>
    <t>Goat (milking)</t>
  </si>
  <si>
    <t>LBS</t>
  </si>
  <si>
    <t>Animal Weight</t>
  </si>
  <si>
    <t>Space</t>
  </si>
  <si>
    <t>tbl_primary</t>
  </si>
  <si>
    <t>tbl_secondary</t>
  </si>
  <si>
    <t>Animals</t>
  </si>
  <si>
    <t xml:space="preserve">Data Validation </t>
  </si>
  <si>
    <t>INDEX MATCH</t>
  </si>
  <si>
    <t>A18</t>
  </si>
  <si>
    <t>cell</t>
  </si>
  <si>
    <t>data</t>
  </si>
  <si>
    <t>Dairy, Holstein, milking</t>
  </si>
  <si>
    <t>Dairy, Jersey, milking</t>
  </si>
  <si>
    <t>Goat, milking</t>
  </si>
  <si>
    <t>Description 1</t>
  </si>
  <si>
    <t>Description 2</t>
  </si>
  <si>
    <t>Description 3</t>
  </si>
  <si>
    <t>Description 4</t>
  </si>
  <si>
    <t>Description 5</t>
  </si>
  <si>
    <t>Description 6</t>
  </si>
  <si>
    <t>Description 7</t>
  </si>
  <si>
    <t>Description 8</t>
  </si>
  <si>
    <t>A19</t>
  </si>
  <si>
    <t>A20</t>
  </si>
  <si>
    <t>A21</t>
  </si>
  <si>
    <t>A22</t>
  </si>
  <si>
    <t>A23</t>
  </si>
  <si>
    <t>Inventory</t>
  </si>
  <si>
    <t>Note: References to manure produced and contained in this facility - includes both urine and feces</t>
  </si>
  <si>
    <t>Manure WT. lb./day/AU</t>
  </si>
  <si>
    <r>
      <t>Manure VOL.   Ft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/day/AU</t>
    </r>
  </si>
  <si>
    <t>Manure,     %MC</t>
  </si>
  <si>
    <t>Hrs per day on pack</t>
  </si>
  <si>
    <t>Manure Weight, Lb/day, Total</t>
  </si>
  <si>
    <r>
      <t>Manure Volume,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/day, Total</t>
    </r>
  </si>
  <si>
    <t>Animal Units, (AU)</t>
  </si>
  <si>
    <t xml:space="preserve"> Animals</t>
  </si>
  <si>
    <t>How many hours per day will the animals be on the pack area?</t>
  </si>
  <si>
    <t>Identify the relative number of hours per day each animal type will be confined on the pack.</t>
  </si>
  <si>
    <t>Hrs/day</t>
  </si>
  <si>
    <t>Hours/day input list</t>
  </si>
  <si>
    <t>What is the maximum number of months planned for the animals in the facility?</t>
  </si>
  <si>
    <t>Months/yr.</t>
  </si>
  <si>
    <t>Months/yr. input list</t>
  </si>
  <si>
    <t>DAILY MANURE</t>
  </si>
  <si>
    <t>WEEKLY MANURE</t>
  </si>
  <si>
    <r>
      <t>Manure Volume,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/wk, Total</t>
    </r>
  </si>
  <si>
    <t>Manure Weight, Lb/wk, Total</t>
  </si>
  <si>
    <t>MONTHLY MANURE</t>
  </si>
  <si>
    <t>Manure Weight, Lb/mo, Total</t>
  </si>
  <si>
    <r>
      <t>Manure Volume,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/mo, Total</t>
    </r>
  </si>
  <si>
    <t>Using 4.3 weeks per month</t>
  </si>
  <si>
    <t>Months per year animals in facility</t>
  </si>
  <si>
    <t>YEARLY MANURE</t>
  </si>
  <si>
    <t>Manure Weight, Lb/yr, Total</t>
  </si>
  <si>
    <r>
      <t>Manure Volume,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/yr, Total</t>
    </r>
  </si>
  <si>
    <t>ANIMAL MANURE PRODUCTION</t>
  </si>
  <si>
    <t>DEEP-BED-PACK LIVESTOCK FACILITY - SIZE</t>
  </si>
  <si>
    <t>Number of Animals</t>
  </si>
  <si>
    <r>
      <t>Pack Space
per animal,
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/head</t>
    </r>
  </si>
  <si>
    <r>
      <t>Animal Type
Pack Space
Total, 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</si>
  <si>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Animal Type</t>
  </si>
  <si>
    <t>Deep-Bed-Pack Facility</t>
  </si>
  <si>
    <t>Total Sq. Ft. Pack Area</t>
  </si>
  <si>
    <t>NOTE: The moisture content of any pack material used in a deep-bed-pack facility will affect the long-term pack management.</t>
  </si>
  <si>
    <t>Build pack stability:</t>
  </si>
  <si>
    <t>Bedding material diversity!</t>
  </si>
  <si>
    <t>Consider…</t>
  </si>
  <si>
    <t>%MC,       lb/lb         wet basis</t>
  </si>
  <si>
    <t>Moisture Content</t>
  </si>
  <si>
    <r>
      <t>Manure Wt * %MC, lb 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O/yr.</t>
    </r>
  </si>
  <si>
    <t>Total</t>
  </si>
  <si>
    <t>filling pack base of facility</t>
  </si>
  <si>
    <r>
      <t>Assume</t>
    </r>
    <r>
      <rPr>
        <i/>
        <u/>
        <sz val="11"/>
        <color theme="1"/>
        <rFont val="Calibri"/>
        <family val="2"/>
        <scheme val="minor"/>
      </rPr>
      <t xml:space="preserve"> 20% compaction</t>
    </r>
    <r>
      <rPr>
        <i/>
        <sz val="11"/>
        <color theme="1"/>
        <rFont val="Calibri"/>
        <family val="2"/>
        <scheme val="minor"/>
      </rPr>
      <t xml:space="preserve"> for </t>
    </r>
  </si>
  <si>
    <t>$ COST FOR BASE</t>
  </si>
  <si>
    <t>Bedding Materials - for consideration</t>
  </si>
  <si>
    <t>Carbon Source for Bedding Material Amendments (typical values)</t>
  </si>
  <si>
    <t>Bedding</t>
  </si>
  <si>
    <t>$ COST FOR BEDDING</t>
  </si>
  <si>
    <t>TOTALS</t>
  </si>
  <si>
    <t>Formula: Solving for the required quantity of bedding</t>
  </si>
  <si>
    <t>MC%</t>
  </si>
  <si>
    <r>
      <t xml:space="preserve">Definition: That part of a waste material removed by evaporation and oven drying at 217 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F (103 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C)</t>
    </r>
  </si>
  <si>
    <t>Note: Moisture content (%) plus total solids (%) equals 100%</t>
  </si>
  <si>
    <t>Manure Wt.</t>
  </si>
  <si>
    <t>Manure Wt.*%MC</t>
  </si>
  <si>
    <t>Bedding Wt.</t>
  </si>
  <si>
    <t>Bedding*%MC</t>
  </si>
  <si>
    <t>MOISTURE CONTENT OF BEDDED PACK</t>
  </si>
  <si>
    <t>FORMULA: SOLUTION Bedding + Manure</t>
  </si>
  <si>
    <t>Percent Moisture Content</t>
  </si>
  <si>
    <t xml:space="preserve">Annual Total Cost, Base + Bedding = </t>
  </si>
  <si>
    <t>Functions for stability and aeration (not included in moisture balance formula)</t>
  </si>
  <si>
    <t>Inventory worksheet</t>
  </si>
  <si>
    <t>Consider moisture content of bedding purchase! Don't pay for water!</t>
  </si>
  <si>
    <t>Selected Bedding Material Amendments</t>
  </si>
  <si>
    <t xml:space="preserve">Annual Total Cost, </t>
  </si>
  <si>
    <t xml:space="preserve">Base + Bedding </t>
  </si>
  <si>
    <t xml:space="preserve">Drop down list </t>
  </si>
  <si>
    <t>ONLY USE THESE CELL COLORS FOR INPUT!</t>
  </si>
  <si>
    <t>Total balance of moisture content must be 63% or less:</t>
  </si>
  <si>
    <t>Bedding Bales:</t>
  </si>
  <si>
    <t>Drop down data</t>
  </si>
  <si>
    <t>Square Bale, Small, 4 ft in length</t>
  </si>
  <si>
    <t>CY</t>
  </si>
  <si>
    <t>Round Bale, Small, 3 ft. dia. X 4 ft.</t>
  </si>
  <si>
    <t>Round or square Bale, Large</t>
  </si>
  <si>
    <t xml:space="preserve">     Lg. Round: 5 ft. dia. X 4 ft. wide</t>
  </si>
  <si>
    <t xml:space="preserve">     Lg. Square: 3ft x 4ft x 8ft</t>
  </si>
  <si>
    <t>Square Bale, Large, 3ft.x4ft.x8ft.</t>
  </si>
  <si>
    <t>Volume, C.Y.</t>
  </si>
  <si>
    <t>Internet sale prices averaged: 5/12/2016</t>
  </si>
  <si>
    <t>Planning Tool</t>
  </si>
  <si>
    <t>bedding that is needed each year.</t>
  </si>
  <si>
    <t xml:space="preserve">A. Help producer come up with an approximate quantity of </t>
  </si>
  <si>
    <t xml:space="preserve">B. Help producer find a reliable and functional source of </t>
  </si>
  <si>
    <t>bedding that must be harvested or purchased each year.</t>
  </si>
  <si>
    <t>a.  Bedded pack refers to accumulated bedding materials</t>
  </si>
  <si>
    <t>b.  The landowner using a bedded pack starts with an initial</t>
  </si>
  <si>
    <t xml:space="preserve"> and manure under a covered livestock housing.</t>
  </si>
  <si>
    <t>material over the floor of the pack area.</t>
  </si>
  <si>
    <t xml:space="preserve"> the feed alley for the barn.</t>
  </si>
  <si>
    <t>e.  The bedded pack ends up being several feed thick by spring.</t>
  </si>
  <si>
    <t xml:space="preserve">f.  The herd is fed on the pack in the bedded-pack area. </t>
  </si>
  <si>
    <t>h.  No additional solids waste storage is required for the barn.</t>
  </si>
  <si>
    <t>i.  No additonal liquid waste storage is required for the barn.</t>
  </si>
  <si>
    <t xml:space="preserve">f.  The herd is fed along a feed alley, off the pack. </t>
  </si>
  <si>
    <t>g.  The herd will only lounge and loaf on the pack.</t>
  </si>
  <si>
    <t>h.  Additional waste storage is required for a daily scrape of</t>
  </si>
  <si>
    <t>g.  The herd will 'graze', lounge and loaf on the pack.</t>
  </si>
  <si>
    <t>thick layer (12 inches to 18 inches deep) course bedding</t>
  </si>
  <si>
    <t>basis or a minimum of several times per week.</t>
  </si>
  <si>
    <t>c.  More bedding material is added on a daily or every other day</t>
  </si>
  <si>
    <t>This planning tool estimates the volume of bedding required for the facility</t>
  </si>
  <si>
    <t>and animals confined there to maintain a moisture content of the pack of</t>
  </si>
  <si>
    <r>
      <rPr>
        <b/>
        <sz val="11"/>
        <color theme="1"/>
        <rFont val="Calibri"/>
        <family val="2"/>
        <scheme val="minor"/>
      </rPr>
      <t>no more than 63%.</t>
    </r>
    <r>
      <rPr>
        <sz val="11"/>
        <color theme="1"/>
        <rFont val="Calibri"/>
        <family val="2"/>
        <scheme val="minor"/>
      </rPr>
      <t xml:space="preserve"> </t>
    </r>
  </si>
  <si>
    <t xml:space="preserve">Near 60% moisture content is the moisture required for composting organic </t>
  </si>
  <si>
    <t>This planning tool is NOT intended for planning compost bedded pack facilities.</t>
  </si>
  <si>
    <t>Worksheets:</t>
  </si>
  <si>
    <t>Title</t>
  </si>
  <si>
    <t>DeepBP_Facility</t>
  </si>
  <si>
    <t>DeepBP-L_Facility</t>
  </si>
  <si>
    <t>DeepBP_Material</t>
  </si>
  <si>
    <t>DeepBP-L_Material</t>
  </si>
  <si>
    <t>File_Report</t>
  </si>
  <si>
    <t>Data</t>
  </si>
  <si>
    <t>RefTable</t>
  </si>
  <si>
    <t>Legend:</t>
  </si>
  <si>
    <t xml:space="preserve"> (choose item from list only)</t>
  </si>
  <si>
    <t>also:</t>
  </si>
  <si>
    <r>
      <t xml:space="preserve">This tool demonstrates the approximate quantity of bedding that is needed each year.  </t>
    </r>
    <r>
      <rPr>
        <b/>
        <u/>
        <sz val="14"/>
        <color theme="1"/>
        <rFont val="Calibri"/>
        <family val="2"/>
        <scheme val="minor"/>
      </rPr>
      <t/>
    </r>
  </si>
  <si>
    <r>
      <t xml:space="preserve">It will be the annual responsibility of the producer to provide the </t>
    </r>
    <r>
      <rPr>
        <b/>
        <u/>
        <sz val="14"/>
        <color theme="1"/>
        <rFont val="Calibri"/>
        <family val="2"/>
        <scheme val="minor"/>
      </rPr>
      <t>pack base material</t>
    </r>
    <r>
      <rPr>
        <b/>
        <sz val="14"/>
        <color theme="1"/>
        <rFont val="Calibri"/>
        <family val="2"/>
        <scheme val="minor"/>
      </rPr>
      <t xml:space="preserve">, </t>
    </r>
    <r>
      <rPr>
        <b/>
        <u/>
        <sz val="14"/>
        <color theme="1"/>
        <rFont val="Calibri"/>
        <family val="2"/>
        <scheme val="minor"/>
      </rPr>
      <t>bedding material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u/>
        <sz val="14"/>
        <color theme="1"/>
        <rFont val="Calibri"/>
        <family val="2"/>
        <scheme val="minor"/>
      </rPr>
      <t>manure management</t>
    </r>
    <r>
      <rPr>
        <b/>
        <sz val="14"/>
        <color theme="1"/>
        <rFont val="Calibri"/>
        <family val="2"/>
        <scheme val="minor"/>
      </rPr>
      <t>.</t>
    </r>
  </si>
  <si>
    <t>NOTE:</t>
  </si>
  <si>
    <t>PROPERTIES:</t>
  </si>
  <si>
    <t>SPREADSHEET PURPOSE:</t>
  </si>
  <si>
    <t>Overview</t>
  </si>
  <si>
    <t>weight, Lb.</t>
  </si>
  <si>
    <r>
      <t xml:space="preserve">waste materials </t>
    </r>
    <r>
      <rPr>
        <b/>
        <i/>
        <sz val="11"/>
        <color theme="1"/>
        <rFont val="Calibri"/>
        <family val="2"/>
        <scheme val="minor"/>
      </rPr>
      <t xml:space="preserve">without having leachate runoff or seepage </t>
    </r>
    <r>
      <rPr>
        <i/>
        <sz val="11"/>
        <color theme="1"/>
        <rFont val="Calibri"/>
        <family val="2"/>
        <scheme val="minor"/>
      </rPr>
      <t>below the pack.</t>
    </r>
  </si>
  <si>
    <r>
      <t xml:space="preserve">Deep Bedded-Pack Facility = </t>
    </r>
    <r>
      <rPr>
        <b/>
        <i/>
        <sz val="11"/>
        <color theme="1"/>
        <rFont val="Calibri"/>
        <family val="2"/>
        <scheme val="minor"/>
      </rPr>
      <t>Complete</t>
    </r>
  </si>
  <si>
    <r>
      <t xml:space="preserve">DEEP BEDDED-PACK FACILITY = </t>
    </r>
    <r>
      <rPr>
        <b/>
        <i/>
        <sz val="11"/>
        <color theme="1"/>
        <rFont val="Arial"/>
        <family val="2"/>
      </rPr>
      <t>COMPLETE</t>
    </r>
  </si>
  <si>
    <t>Deep-Bed-Pack_L Facility</t>
  </si>
  <si>
    <r>
      <t xml:space="preserve">Space/animal </t>
    </r>
    <r>
      <rPr>
        <b/>
        <i/>
        <sz val="9.5"/>
        <color theme="1"/>
        <rFont val="Calibri"/>
        <family val="2"/>
        <scheme val="minor"/>
      </rPr>
      <t>complete</t>
    </r>
    <r>
      <rPr>
        <b/>
        <sz val="9.5"/>
        <color theme="1"/>
        <rFont val="Calibri"/>
        <family val="2"/>
        <scheme val="minor"/>
      </rPr>
      <t>, ft</t>
    </r>
    <r>
      <rPr>
        <b/>
        <vertAlign val="superscript"/>
        <sz val="9.5"/>
        <color theme="1"/>
        <rFont val="Calibri"/>
        <family val="2"/>
        <scheme val="minor"/>
      </rPr>
      <t>2</t>
    </r>
    <r>
      <rPr>
        <b/>
        <sz val="9.5"/>
        <color theme="1"/>
        <rFont val="Calibri"/>
        <family val="2"/>
        <scheme val="minor"/>
      </rPr>
      <t>/head</t>
    </r>
  </si>
  <si>
    <t>MWPS-1 Structures and Environment Handbook</t>
  </si>
  <si>
    <t>In this case use a different 'Compost Bedded-Pack' planning tool for planning these facilities.</t>
  </si>
  <si>
    <t>Total sq ft/hd</t>
  </si>
  <si>
    <t>Bunk feeder space (24 in/hd), ft.</t>
  </si>
  <si>
    <t>Reference:</t>
  </si>
  <si>
    <t>Bedding source reliability and functional properties must be considered in making choices of bedding materials.</t>
  </si>
  <si>
    <t>Select hours per day animals in feed alley:</t>
  </si>
  <si>
    <t>Select Hrs/day</t>
  </si>
  <si>
    <t>Animals in feed alley</t>
  </si>
  <si>
    <t>Percent of day in feed alley:</t>
  </si>
  <si>
    <t xml:space="preserve">Percent of manure in feed alley </t>
  </si>
  <si>
    <t>STORAGE</t>
  </si>
  <si>
    <t>Pack Moisture Cont.</t>
  </si>
  <si>
    <r>
      <t>Manure Vol.,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/yr, Total</t>
    </r>
  </si>
  <si>
    <t>Separate solid manure storage required</t>
  </si>
  <si>
    <t>Alley Scrape</t>
  </si>
  <si>
    <t>MANURE STORED IN PACK</t>
  </si>
  <si>
    <t>Waste Management Institute.  Shows better aeration with mixed materials</t>
  </si>
  <si>
    <t xml:space="preserve">Image below from: "How porosity affects aeration." From T. Richard, Cornell </t>
  </si>
  <si>
    <t>Building a deep-bed pack</t>
  </si>
  <si>
    <t>To create a healthy soil amendment from the deep-bed pack an initial course base is required for porosity, aeration and hoof stability.</t>
  </si>
  <si>
    <t>RECOMMENDED: Initial base of wood chips, 12 inches deep and fairly course in size to promote pack aeration.</t>
  </si>
  <si>
    <t>RSMeans 2015</t>
  </si>
  <si>
    <t>$28.80/CY Wood Chip Material</t>
  </si>
  <si>
    <t>Semi Truck Trailer</t>
  </si>
  <si>
    <t>Large Semi Truck Trailer</t>
  </si>
  <si>
    <t>Small Semi Truck Trailer</t>
  </si>
  <si>
    <t>When purchased by the truckload</t>
  </si>
  <si>
    <t>wood Shavings ( 8 cu. ft. bag)</t>
  </si>
  <si>
    <t>Minimum order 960 bags</t>
  </si>
  <si>
    <t>Bulk Ground Corn Cobs</t>
  </si>
  <si>
    <t>$270/ 25 CY</t>
  </si>
  <si>
    <t>437lb/CY</t>
  </si>
  <si>
    <t>390lb/CY</t>
  </si>
  <si>
    <t>430lb/CY</t>
  </si>
  <si>
    <t>420 lb/CY</t>
  </si>
  <si>
    <t>AVG</t>
  </si>
  <si>
    <t>Woodchips - dry</t>
  </si>
  <si>
    <t>RSMeans est.</t>
  </si>
  <si>
    <t>chronofhorse.com</t>
  </si>
  <si>
    <t>Cubic Yard - contractor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</si>
  <si>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Cost, $/CY</t>
    </r>
  </si>
  <si>
    <r>
      <t xml:space="preserve">Pack </t>
    </r>
    <r>
      <rPr>
        <b/>
        <sz val="11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>, 
Sq. Ft.</t>
    </r>
  </si>
  <si>
    <t>Wood - Chips (Dry)</t>
  </si>
  <si>
    <t>Note:</t>
  </si>
  <si>
    <t xml:space="preserve">vary depending on operation </t>
  </si>
  <si>
    <t>location and resources.</t>
  </si>
  <si>
    <t xml:space="preserve">Pack base material and cost can </t>
  </si>
  <si>
    <r>
      <t xml:space="preserve">Pack Base, </t>
    </r>
    <r>
      <rPr>
        <b/>
        <sz val="10"/>
        <rFont val="Arial"/>
        <family val="2"/>
      </rPr>
      <t>CY Total</t>
    </r>
  </si>
  <si>
    <r>
      <t xml:space="preserve">Pack </t>
    </r>
    <r>
      <rPr>
        <b/>
        <sz val="9"/>
        <rFont val="Arial"/>
        <family val="2"/>
      </rPr>
      <t>Area</t>
    </r>
    <r>
      <rPr>
        <sz val="9"/>
        <rFont val="Arial"/>
        <family val="2"/>
      </rPr>
      <t>,
 Sq. Yd.</t>
    </r>
  </si>
  <si>
    <r>
      <rPr>
        <b/>
        <sz val="9"/>
        <rFont val="Arial"/>
        <family val="2"/>
      </rPr>
      <t>Chip Wt</t>
    </r>
    <r>
      <rPr>
        <sz val="9"/>
        <rFont val="Arial"/>
        <family val="2"/>
      </rPr>
      <t>,
 lbs./CY</t>
    </r>
  </si>
  <si>
    <r>
      <t xml:space="preserve">Base Cost, 
</t>
    </r>
    <r>
      <rPr>
        <b/>
        <sz val="11"/>
        <color theme="1"/>
        <rFont val="Calibri"/>
        <family val="2"/>
        <scheme val="minor"/>
      </rPr>
      <t xml:space="preserve">Annual $ </t>
    </r>
  </si>
  <si>
    <r>
      <t xml:space="preserve">Base of dry 
wood chips, 
Wt. </t>
    </r>
    <r>
      <rPr>
        <b/>
        <sz val="11"/>
        <color theme="1"/>
        <rFont val="Calibri"/>
        <family val="2"/>
        <scheme val="minor"/>
      </rPr>
      <t>LB/YR</t>
    </r>
  </si>
  <si>
    <t>Forest Service study on dry wood chip transport</t>
  </si>
  <si>
    <t>Average weight, 420 lb/CY</t>
  </si>
  <si>
    <t>Industrial wood chip sale transport volumes</t>
  </si>
  <si>
    <t>Hauler</t>
  </si>
  <si>
    <t>Volume</t>
  </si>
  <si>
    <t>Wt.</t>
  </si>
  <si>
    <t>Forest Service study report on dry wood chip transport, 2012 Wood Council Mtg. Paper</t>
  </si>
  <si>
    <t>Rounding est. - $30/CY</t>
  </si>
  <si>
    <t>CY/Trailer</t>
  </si>
  <si>
    <t>Avg. Wt. x
Trailer Vol.</t>
  </si>
  <si>
    <t>Horse Forum,
Cost $/CY</t>
  </si>
  <si>
    <t>Image below shows the role a course base layer provides.</t>
  </si>
  <si>
    <t>Equine forum cost of industrial load of wood chips, $5 per cubic yard. (2013)</t>
  </si>
  <si>
    <t>Co-Composter vers. 2a</t>
  </si>
  <si>
    <t xml:space="preserve">   November 15, 2001</t>
  </si>
  <si>
    <t>Cornell University</t>
  </si>
  <si>
    <t>Hay - Bedding hay</t>
  </si>
  <si>
    <t>Wood - Chips (dry)</t>
  </si>
  <si>
    <t>On-Farm Composting Handbook, Northeast Regional Agricultural Engineering Service, NRAES-54, June 1992</t>
  </si>
  <si>
    <t>C:N ratio (weight to weight)</t>
  </si>
  <si>
    <t>Wood - shavings and chip mix (dry)</t>
  </si>
  <si>
    <t>NRCS Agricultural Waste Management Field Handbook, Ch 10, Component Design, 2009</t>
  </si>
  <si>
    <t>The Art and Science of Composting, Leslie Cooperband, University of Wisconsin-Madison, March 29, 2002</t>
  </si>
  <si>
    <t>Trucking Characteristics for an In-woods Biomass Chipping Operation, J.D. Thompson, J. Klepac, W. Sprinkle, USDA Forest Service</t>
  </si>
  <si>
    <r>
      <t>Bedding Data (</t>
    </r>
    <r>
      <rPr>
        <b/>
        <i/>
        <sz val="12"/>
        <color theme="1"/>
        <rFont val="Calibri"/>
        <family val="2"/>
        <scheme val="minor"/>
      </rPr>
      <t>can be revised if test data available</t>
    </r>
    <r>
      <rPr>
        <b/>
        <sz val="12"/>
        <color theme="1"/>
        <rFont val="Calibri"/>
        <family val="2"/>
        <scheme val="minor"/>
      </rPr>
      <t>)</t>
    </r>
  </si>
  <si>
    <t>Wood - shavings+chip (dry)</t>
  </si>
  <si>
    <t>C to N ratio in cropping systems, NRCS, January 2011</t>
  </si>
  <si>
    <t>d.  The herd is housed on the pack primarily during the winter season.</t>
  </si>
  <si>
    <t>LOCKED Value referenced from another cell</t>
  </si>
  <si>
    <t>UNLOCKED Value referenced from another cell</t>
  </si>
  <si>
    <t xml:space="preserve">             (Can overwrite default value if better data is available)</t>
  </si>
  <si>
    <t>Formula / Solution = LOCKED</t>
  </si>
  <si>
    <r>
      <t>Alley animal space, 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/head</t>
    </r>
  </si>
  <si>
    <t>Alley depth per animal, ft.</t>
  </si>
  <si>
    <t>RECOMMENDED: Initial base of wood chips, 12 to 18 inches deep and fairly course in size to promote pack aeration.</t>
  </si>
  <si>
    <t>Manure Weight</t>
  </si>
  <si>
    <t>Bedding Weight</t>
  </si>
  <si>
    <t>Bedding Wt*%MC</t>
  </si>
  <si>
    <t>Bedding 
Purchase Unit</t>
  </si>
  <si>
    <r>
      <rPr>
        <b/>
        <sz val="11"/>
        <color theme="1"/>
        <rFont val="Calibri"/>
        <family val="2"/>
        <scheme val="minor"/>
      </rPr>
      <t>Bedding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%MC</t>
    </r>
    <r>
      <rPr>
        <sz val="11"/>
        <color theme="1"/>
        <rFont val="Calibri"/>
        <family val="2"/>
        <scheme val="minor"/>
      </rPr>
      <t>, 
lb/lb    
wet basis</t>
    </r>
  </si>
  <si>
    <r>
      <rPr>
        <b/>
        <sz val="11"/>
        <color theme="1"/>
        <rFont val="Calibri"/>
        <family val="2"/>
        <scheme val="minor"/>
      </rPr>
      <t>Bedding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C:N ratio</t>
    </r>
    <r>
      <rPr>
        <sz val="11"/>
        <color theme="1"/>
        <rFont val="Calibri"/>
        <family val="2"/>
        <scheme val="minor"/>
      </rPr>
      <t xml:space="preserve"> 
(C to 1 part N)</t>
    </r>
  </si>
  <si>
    <t>Square Bale, 
Small, 4 ft. long</t>
  </si>
  <si>
    <t>Purchase Units (typical)</t>
  </si>
  <si>
    <t>$ Cost per haul</t>
  </si>
  <si>
    <t>Ref. List</t>
  </si>
  <si>
    <t>Weight,    lbs.</t>
  </si>
  <si>
    <t>Bedding Weight  * %MC 
Lb Water</t>
  </si>
  <si>
    <t>Bedding Weight, 
Lb/yr</t>
  </si>
  <si>
    <t>Cost, $ 
each purchase unit</t>
  </si>
  <si>
    <t>Planned Bedding Units required Annually</t>
  </si>
  <si>
    <t>Manure Wt * %MC, lb water/yr.</t>
  </si>
  <si>
    <t>Volume, Cu.Yd.</t>
  </si>
  <si>
    <t>For:</t>
  </si>
  <si>
    <t>USE: DeepBP_xxxxxxxx</t>
  </si>
  <si>
    <t>USE: DeepBP-L_xxxxxxxx</t>
  </si>
  <si>
    <r>
      <t xml:space="preserve">Deep Bedded-Pack-L Facility = </t>
    </r>
    <r>
      <rPr>
        <b/>
        <i/>
        <sz val="11"/>
        <color theme="1"/>
        <rFont val="Calibri"/>
        <family val="2"/>
        <scheme val="minor"/>
      </rPr>
      <t>Lounge only</t>
    </r>
  </si>
  <si>
    <r>
      <t xml:space="preserve">DEEP BEDDED-PACK-L_FACILITY = </t>
    </r>
    <r>
      <rPr>
        <b/>
        <i/>
        <sz val="11"/>
        <color theme="1"/>
        <rFont val="Arial"/>
        <family val="2"/>
      </rPr>
      <t>Lounge only</t>
    </r>
  </si>
  <si>
    <r>
      <t>Feed alley space /animal, 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/head</t>
    </r>
  </si>
  <si>
    <t>Compost Mixture Components, NEH, Part 637, Composting, Chapter 2, Section: 637.0202</t>
  </si>
  <si>
    <t>C:N of bedded pack (estimation)</t>
  </si>
  <si>
    <t>Average animal manure C:N ratio = 18</t>
  </si>
  <si>
    <t>Dry weight basis</t>
  </si>
  <si>
    <t>Dry Weight of Manure</t>
  </si>
  <si>
    <t>(on a dry weight basis)</t>
  </si>
  <si>
    <t>Using an average manure %C = 46.8</t>
  </si>
  <si>
    <t>Using an average manure %N = 2.6</t>
  </si>
  <si>
    <t>Reference: NEH Part 637, Composting</t>
  </si>
  <si>
    <t>Estimated</t>
  </si>
  <si>
    <t>Estimated:</t>
  </si>
  <si>
    <t>Weight of Carbon</t>
  </si>
  <si>
    <t>Weight of Nitrogen</t>
  </si>
  <si>
    <t>Dry Weight of Bedding</t>
  </si>
  <si>
    <t>C:N Weighted Avg.</t>
  </si>
  <si>
    <t>Weighted avg. C:N ratio:</t>
  </si>
  <si>
    <t>Using an average bedding %N = 1</t>
  </si>
  <si>
    <t xml:space="preserve">Average bedding % C = </t>
  </si>
  <si>
    <t>Initial Sum of Pack C:N</t>
  </si>
  <si>
    <t>:1</t>
  </si>
  <si>
    <r>
      <t>The pack mix should be designed so that</t>
    </r>
    <r>
      <rPr>
        <b/>
        <sz val="11"/>
        <color theme="1"/>
        <rFont val="Calibri"/>
        <family val="2"/>
        <scheme val="minor"/>
      </rPr>
      <t xml:space="preserve"> either the C:N ratio or the moisture content</t>
    </r>
    <r>
      <rPr>
        <sz val="11"/>
        <color theme="1"/>
        <rFont val="Calibri"/>
        <family val="2"/>
        <scheme val="minor"/>
      </rPr>
      <t xml:space="preserve"> is within the</t>
    </r>
  </si>
  <si>
    <t xml:space="preserve">recommended ranges and the other as close as possible to the ideal range.  </t>
  </si>
  <si>
    <t>Recommended Pack Base = 12" layer of wood chips</t>
  </si>
  <si>
    <t>Design pack base depth, inches</t>
  </si>
  <si>
    <t xml:space="preserve">Moisture Content is the Design Target at 63% maximum.  </t>
  </si>
  <si>
    <t>C:N can be checked for acceptable range and bedding choices.</t>
  </si>
  <si>
    <t>Bedding estimated</t>
  </si>
  <si>
    <t>Manure estimated</t>
  </si>
  <si>
    <t>Manure: DeepBP-L_Facility worksheet</t>
  </si>
  <si>
    <t>Manure: DeepBP_Facility worksheet</t>
  </si>
  <si>
    <t xml:space="preserve"> Pack Area, Sq. Ft.</t>
  </si>
  <si>
    <t>Alley Scrape Storage</t>
  </si>
  <si>
    <r>
      <t>Manure Vol.,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/yr</t>
    </r>
  </si>
  <si>
    <t>YEARLY PACK MANURE</t>
  </si>
  <si>
    <t>Bedding: DeepBP_Material worksheet</t>
  </si>
  <si>
    <t>Pack Base layer of wood chips</t>
  </si>
  <si>
    <t>ANNUAL COST, $</t>
  </si>
  <si>
    <t>Bedding: DeepBP-L_Material worksheet</t>
  </si>
  <si>
    <t>Moisture content of Bedded Pack</t>
  </si>
  <si>
    <t>C:N ratio of Bedded Pack</t>
  </si>
  <si>
    <t xml:space="preserve">   Moisture content of Bedded Pack</t>
  </si>
  <si>
    <t>Planners Notes:</t>
  </si>
  <si>
    <t xml:space="preserve">If the producer is planning on a 'Compost Bedded-Pack', it will require </t>
  </si>
  <si>
    <t xml:space="preserve">the pack be tilled or mixed twice a day to a depth of 10 inches to 12 inches.  </t>
  </si>
  <si>
    <r>
      <rPr>
        <sz val="11"/>
        <rFont val="Calibri"/>
        <family val="2"/>
        <scheme val="minor"/>
      </rPr>
      <t xml:space="preserve">* </t>
    </r>
    <r>
      <rPr>
        <i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numbers are estimated based on related data.</t>
    </r>
  </si>
  <si>
    <t>Round Bale, Big, 
4ft.dia.x 5ft. Long</t>
  </si>
  <si>
    <t>http://gillespie.agrilife.org/files/2011/08/Conversion-Tables-for-Ag1.pdf</t>
  </si>
  <si>
    <t>Volume for bedding</t>
  </si>
  <si>
    <t>Multiply bale * X</t>
  </si>
  <si>
    <t>X</t>
  </si>
  <si>
    <t>hay</t>
  </si>
  <si>
    <t>straw</t>
  </si>
  <si>
    <t>Weight est 14 lb/Cu Ft.</t>
  </si>
  <si>
    <t>380 lb/CY</t>
  </si>
  <si>
    <t>Wood Shavings,
 8 cu. ft. bag</t>
  </si>
  <si>
    <t>Wood Chips,
 Semi Truck load</t>
  </si>
  <si>
    <t>http://www.extension.colostate.edu/SEA/yard%20&amp;%20garden/Composting%202012.pdf</t>
  </si>
  <si>
    <t xml:space="preserve">Corn Cobs, Ground </t>
  </si>
  <si>
    <t xml:space="preserve"> Corn Cobs, Ground</t>
  </si>
  <si>
    <t>Corn Cobs, Ground</t>
  </si>
  <si>
    <t>https://extension.umd.edu/.../Copy%20of%20Revised%20Carbon%20to%20Nitrogen%20Ratio</t>
  </si>
  <si>
    <t>DEEP-BED-PACK ALTERNATIVE</t>
  </si>
  <si>
    <r>
      <t>In this case, the mix should be designed so that</t>
    </r>
    <r>
      <rPr>
        <b/>
        <sz val="11"/>
        <color theme="1"/>
        <rFont val="Calibri"/>
        <family val="2"/>
        <scheme val="minor"/>
      </rPr>
      <t xml:space="preserve"> either the C:N ratio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the moisture content</t>
    </r>
    <r>
      <rPr>
        <sz val="11"/>
        <color theme="1"/>
        <rFont val="Calibri"/>
        <family val="2"/>
        <scheme val="minor"/>
      </rPr>
      <t xml:space="preserve"> is within the recommended ranges </t>
    </r>
  </si>
  <si>
    <t>Data sources used for this determination are listed on the Workbook tab 'Data' and Worksheet tab 'RefTable' is used for the look-up formula data.</t>
  </si>
  <si>
    <t xml:space="preserve">and the other as close as possible to the ideal range.  </t>
  </si>
  <si>
    <t>This tool determines bedding moisture content and calculates resulting C:N ratio.</t>
  </si>
  <si>
    <t>&gt;&gt;&gt; Initial composting recommended C:N ratio ranges between 20:1 and 40:1</t>
  </si>
  <si>
    <t>Initial composting recommended C:N ratio ranges between 20:1 and 40:1</t>
  </si>
  <si>
    <t>Consider your land application area available and nutrient analysis of compost to be applied.</t>
  </si>
  <si>
    <t>v. 1.3</t>
  </si>
  <si>
    <t>.</t>
  </si>
  <si>
    <t>Depth</t>
  </si>
  <si>
    <t>1,000 Square Feet</t>
  </si>
  <si>
    <t>One [1] Acre</t>
  </si>
  <si>
    <t>Inch layer</t>
  </si>
  <si>
    <t>Compost Volume Required to Cover Specific Areas
 for a Planned Depth</t>
  </si>
  <si>
    <r>
      <t xml:space="preserve">Cu. Ft.  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  Cu. Yds.</t>
    </r>
  </si>
  <si>
    <r>
      <t xml:space="preserve">Cu. Ft. 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 Cu. Yds.</t>
    </r>
  </si>
  <si>
    <t>Cost, $</t>
  </si>
  <si>
    <t>Prices for bedding materials</t>
  </si>
  <si>
    <t>https://www.feedcentral.com.au/cms/wp-content/uploads/2015/11/FC_factsheet_balesizes_web.pdf</t>
  </si>
  <si>
    <t>Material</t>
  </si>
  <si>
    <t>Website source link</t>
  </si>
  <si>
    <t>Size</t>
  </si>
  <si>
    <t>Price</t>
  </si>
  <si>
    <t>Market</t>
  </si>
  <si>
    <t>Weight,est.</t>
  </si>
  <si>
    <t>Lb.</t>
  </si>
  <si>
    <t>Wheat straw</t>
  </si>
  <si>
    <t>https://www.ams.usda.gov/mnreports/lswfeedseed.pdf</t>
  </si>
  <si>
    <t>Small square b.
15"x18"x40"</t>
  </si>
  <si>
    <t>MO</t>
  </si>
  <si>
    <t>6 cu ft</t>
  </si>
  <si>
    <t>TX</t>
  </si>
  <si>
    <t>MN</t>
  </si>
  <si>
    <t>KS</t>
  </si>
  <si>
    <t>AVG PRICE</t>
  </si>
  <si>
    <t>Large square b.
3'x4'x8'</t>
  </si>
  <si>
    <t>NE</t>
  </si>
  <si>
    <t>96 cu Ft.</t>
  </si>
  <si>
    <t>MT</t>
  </si>
  <si>
    <t>Large round b.
5'w x 6'd</t>
  </si>
  <si>
    <t>IA</t>
  </si>
  <si>
    <t>141 cu ft.</t>
  </si>
  <si>
    <t>http://www.hayexchange.com/display_detail_hay.php?id=111597</t>
  </si>
  <si>
    <t>Big round b.
4'w x 5'd</t>
  </si>
  <si>
    <t>MI</t>
  </si>
  <si>
    <t xml:space="preserve">79 cu ft. </t>
  </si>
  <si>
    <t>http://www.hayexchange.com/display_detail_hay.php?id=112012</t>
  </si>
  <si>
    <t>http://www.hayexchange.com/display_detail_hay.php?id=109401</t>
  </si>
  <si>
    <t xml:space="preserve">Bale size - relative weight for hay </t>
  </si>
  <si>
    <t>http://beeffax.tamu.edu/files/2013/09/2012-Bale-weight-how-important-is-it-Banta-E-319-.pdf</t>
  </si>
  <si>
    <t>Bale hay vs. bale straw = 1200 vx. 1000 = 1.2 hay vs. straw or 0.83 lb straw to 1 lb hay density compare.</t>
  </si>
  <si>
    <t>http://www.cattletoday.com/forum/viewtopic.php?t=74441</t>
  </si>
  <si>
    <t>Cornstalks</t>
  </si>
  <si>
    <t>Weight of corn stover @ 20% moisture = 13.824 lb/cu ft</t>
  </si>
  <si>
    <t>https://www.extension.iastate.edu/agdm/crops/pdf/a1-70.pdf</t>
  </si>
  <si>
    <t xml:space="preserve">Hay - Dry, </t>
  </si>
  <si>
    <t>https://www.ams.usda.gov/mnreports/am_gr310.txt</t>
  </si>
  <si>
    <t>https://www.ams.usda.gov/mnreports/gx_gr310.txt</t>
  </si>
  <si>
    <t>IL</t>
  </si>
  <si>
    <t>https://www.ams.usda.gov/mnreports/to_gr310.txt</t>
  </si>
  <si>
    <t>WY/NE/SD</t>
  </si>
  <si>
    <t>https://www.ams.usda.gov/mnreports/bl_gr310.txt</t>
  </si>
  <si>
    <t>fair to good</t>
  </si>
  <si>
    <t>Corn Stalk, Stover</t>
  </si>
  <si>
    <t>CONFINED LIVESTOCK FEEDING FACILITY</t>
  </si>
  <si>
    <t xml:space="preserve">Animal </t>
  </si>
  <si>
    <t>Large Bale, Big, 
5ft.dia.x 6ft. Long</t>
  </si>
  <si>
    <t xml:space="preserve">Hay, Sm Sq </t>
  </si>
  <si>
    <t>Hay, Lg Sq Bale</t>
  </si>
  <si>
    <t xml:space="preserve">Hay, 4x5 Rd </t>
  </si>
  <si>
    <t>Straw, Sm Sq</t>
  </si>
  <si>
    <t>Straw, Lg Sq</t>
  </si>
  <si>
    <t>Straw, 4x5 Rd</t>
  </si>
  <si>
    <t xml:space="preserve">Straw, 5x6 Rd </t>
  </si>
  <si>
    <t>Corn Stalks, Lg Sq</t>
  </si>
  <si>
    <t>Corn Stalks, 4x5 Rd</t>
  </si>
  <si>
    <t>Corn Cobs, Pillow</t>
  </si>
  <si>
    <t>WoodShave,CompressBag</t>
  </si>
  <si>
    <t>WoodChips,SemiTrailer</t>
  </si>
  <si>
    <t>JJC</t>
  </si>
  <si>
    <t>Susan Dorper</t>
  </si>
  <si>
    <t>Ewe PS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</si>
</sst>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\ \ \ \ \ ;;"/>
    <numFmt numFmtId="165" formatCode="\ \ \ \ \ \ \ \ General"/>
    <numFmt numFmtId="166" formatCode="m/d/yy;@"/>
    <numFmt numFmtId="167" formatCode="0.0"/>
    <numFmt numFmtId="168" formatCode="General_)"/>
    <numFmt numFmtId="169" formatCode="_(&quot;$&quot;* #,##0_);_(&quot;$&quot;* \(#,##0\);_(&quot;$&quot;* &quot;-&quot;??_);_(@_)"/>
    <numFmt numFmtId="170" formatCode="#,##0.0"/>
    <numFmt numFmtId="171" formatCode="_([$$-409]* #,##0.00_);_([$$-409]* \(#,##0.00\);_([$$-409]* &quot;-&quot;??_);_(@_)"/>
  </numFmts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1"/>
      <color rgb="FFFF0000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color indexed="12"/>
      <name val="Arial"/>
      <family val="2"/>
    </font>
    <font>
      <sz val="11"/>
      <color indexed="8"/>
      <name val="Calibri"/>
      <family val="2"/>
      <scheme val="minor"/>
    </font>
    <font>
      <sz val="9"/>
      <color rgb="FF666666"/>
      <name val="Consolas"/>
      <family val="3"/>
    </font>
    <font>
      <sz val="10"/>
      <color rgb="FF574123"/>
      <name val="Lucida Console"/>
      <family val="3"/>
    </font>
    <font>
      <sz val="11"/>
      <color rgb="FF222426"/>
      <name val="Arial"/>
      <family val="2"/>
    </font>
    <font>
      <sz val="10"/>
      <color rgb="FF222426"/>
      <name val="Consolas"/>
      <family val="3"/>
    </font>
    <font>
      <sz val="10"/>
      <color rgb="FF7030A0"/>
      <name val="Consolas"/>
      <family val="3"/>
    </font>
    <font>
      <sz val="11"/>
      <color rgb="FF7030A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vertAlign val="superscript"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9"/>
      <color indexed="81"/>
      <name val="Tahoma"/>
      <family val="2"/>
    </font>
    <font>
      <b/>
      <i/>
      <sz val="11"/>
      <color rgb="FF8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FC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7" fillId="0" borderId="0"/>
    <xf numFmtId="0" fontId="35" fillId="0" borderId="0"/>
    <xf numFmtId="44" fontId="32" fillId="0" borderId="0" applyFont="0" applyFill="0" applyBorder="0" applyAlignment="0" applyProtection="0"/>
    <xf numFmtId="168" fontId="42" fillId="0" borderId="0"/>
    <xf numFmtId="9" fontId="32" fillId="0" borderId="0" applyFont="0" applyFill="0" applyBorder="0" applyAlignment="0" applyProtection="0"/>
    <xf numFmtId="0" fontId="61" fillId="0" borderId="0" applyNumberFormat="0" applyFill="0" applyBorder="0" applyAlignment="0" applyProtection="0"/>
  </cellStyleXfs>
  <cellXfs count="613">
    <xf numFmtId="0" fontId="0" fillId="0" borderId="0" xfId="0"/>
    <xf numFmtId="164" fontId="8" fillId="0" borderId="2" xfId="1" applyNumberFormat="1" applyFont="1" applyFill="1" applyBorder="1" applyAlignment="1" applyProtection="1">
      <alignment horizontal="left"/>
      <protection locked="0"/>
    </xf>
    <xf numFmtId="0" fontId="0" fillId="0" borderId="3" xfId="0" applyBorder="1"/>
    <xf numFmtId="164" fontId="8" fillId="0" borderId="7" xfId="1" applyNumberFormat="1" applyFont="1" applyFill="1" applyBorder="1" applyAlignment="1" applyProtection="1">
      <alignment horizontal="right"/>
      <protection locked="0"/>
    </xf>
    <xf numFmtId="164" fontId="8" fillId="0" borderId="0" xfId="1" applyNumberFormat="1" applyFont="1" applyFill="1" applyBorder="1" applyAlignment="1" applyProtection="1">
      <alignment horizontal="right"/>
      <protection locked="0"/>
    </xf>
    <xf numFmtId="165" fontId="10" fillId="0" borderId="0" xfId="1" applyNumberFormat="1" applyFont="1" applyFill="1" applyBorder="1" applyAlignment="1">
      <alignment horizontal="left"/>
    </xf>
    <xf numFmtId="0" fontId="0" fillId="0" borderId="0" xfId="0" applyBorder="1"/>
    <xf numFmtId="0" fontId="12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4" fillId="3" borderId="1" xfId="0" applyFont="1" applyFill="1" applyBorder="1"/>
    <xf numFmtId="0" fontId="0" fillId="3" borderId="13" xfId="0" applyFill="1" applyBorder="1"/>
    <xf numFmtId="0" fontId="14" fillId="3" borderId="4" xfId="0" applyFont="1" applyFill="1" applyBorder="1"/>
    <xf numFmtId="0" fontId="0" fillId="3" borderId="4" xfId="0" applyFill="1" applyBorder="1"/>
    <xf numFmtId="0" fontId="0" fillId="2" borderId="16" xfId="0" applyFill="1" applyBorder="1" applyAlignment="1">
      <alignment horizontal="center"/>
    </xf>
    <xf numFmtId="0" fontId="0" fillId="3" borderId="17" xfId="0" applyFill="1" applyBorder="1"/>
    <xf numFmtId="0" fontId="0" fillId="2" borderId="20" xfId="0" applyFill="1" applyBorder="1" applyAlignment="1">
      <alignment horizontal="center"/>
    </xf>
    <xf numFmtId="0" fontId="0" fillId="3" borderId="21" xfId="0" applyFill="1" applyBorder="1"/>
    <xf numFmtId="0" fontId="0" fillId="3" borderId="20" xfId="0" applyFill="1" applyBorder="1"/>
    <xf numFmtId="0" fontId="14" fillId="3" borderId="20" xfId="0" applyFont="1" applyFill="1" applyBorder="1"/>
    <xf numFmtId="0" fontId="14" fillId="2" borderId="13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0" fillId="0" borderId="23" xfId="0" applyBorder="1"/>
    <xf numFmtId="0" fontId="14" fillId="2" borderId="24" xfId="0" applyFont="1" applyFill="1" applyBorder="1" applyAlignment="1">
      <alignment horizontal="center"/>
    </xf>
    <xf numFmtId="0" fontId="0" fillId="3" borderId="12" xfId="0" applyFill="1" applyBorder="1"/>
    <xf numFmtId="0" fontId="0" fillId="3" borderId="24" xfId="0" applyFill="1" applyBorder="1"/>
    <xf numFmtId="0" fontId="1" fillId="0" borderId="0" xfId="0" applyFont="1"/>
    <xf numFmtId="1" fontId="0" fillId="5" borderId="27" xfId="0" quotePrefix="1" applyNumberFormat="1" applyFill="1" applyBorder="1" applyAlignment="1">
      <alignment horizontal="center"/>
    </xf>
    <xf numFmtId="1" fontId="0" fillId="5" borderId="11" xfId="0" quotePrefix="1" applyNumberFormat="1" applyFill="1" applyBorder="1" applyAlignment="1">
      <alignment horizontal="center"/>
    </xf>
    <xf numFmtId="1" fontId="0" fillId="5" borderId="29" xfId="0" quotePrefix="1" applyNumberFormat="1" applyFill="1" applyBorder="1" applyAlignment="1">
      <alignment horizontal="center"/>
    </xf>
    <xf numFmtId="1" fontId="0" fillId="5" borderId="30" xfId="0" quotePrefix="1" applyNumberFormat="1" applyFill="1" applyBorder="1" applyAlignment="1">
      <alignment horizontal="center"/>
    </xf>
    <xf numFmtId="1" fontId="0" fillId="5" borderId="32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0" fontId="0" fillId="0" borderId="33" xfId="0" applyNumberForma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33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16" fillId="6" borderId="31" xfId="0" applyFont="1" applyFill="1" applyBorder="1"/>
    <xf numFmtId="0" fontId="16" fillId="7" borderId="0" xfId="0" applyFont="1" applyFill="1" applyBorder="1"/>
    <xf numFmtId="0" fontId="0" fillId="8" borderId="0" xfId="0" applyFill="1"/>
    <xf numFmtId="0" fontId="0" fillId="8" borderId="2" xfId="0" applyFill="1" applyBorder="1"/>
    <xf numFmtId="0" fontId="0" fillId="8" borderId="3" xfId="0" applyFill="1" applyBorder="1"/>
    <xf numFmtId="0" fontId="0" fillId="8" borderId="25" xfId="0" applyFill="1" applyBorder="1"/>
    <xf numFmtId="0" fontId="0" fillId="8" borderId="7" xfId="0" applyFill="1" applyBorder="1"/>
    <xf numFmtId="0" fontId="0" fillId="8" borderId="0" xfId="0" applyFill="1" applyBorder="1"/>
    <xf numFmtId="0" fontId="0" fillId="8" borderId="13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17" fillId="8" borderId="0" xfId="0" applyFont="1" applyFill="1" applyBorder="1"/>
    <xf numFmtId="0" fontId="18" fillId="0" borderId="0" xfId="0" applyFont="1" applyBorder="1" applyAlignment="1" applyProtection="1">
      <alignment horizontal="right"/>
      <protection locked="0"/>
    </xf>
    <xf numFmtId="0" fontId="18" fillId="9" borderId="11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right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14" fontId="18" fillId="9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166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9" fillId="0" borderId="0" xfId="0" applyFont="1" applyBorder="1" applyAlignment="1" applyProtection="1">
      <alignment horizontal="right"/>
      <protection locked="0"/>
    </xf>
    <xf numFmtId="0" fontId="1" fillId="0" borderId="40" xfId="0" applyFont="1" applyFill="1" applyBorder="1" applyProtection="1"/>
    <xf numFmtId="0" fontId="0" fillId="0" borderId="41" xfId="0" applyFill="1" applyBorder="1" applyProtection="1"/>
    <xf numFmtId="0" fontId="20" fillId="0" borderId="41" xfId="0" applyFont="1" applyFill="1" applyBorder="1" applyAlignment="1" applyProtection="1">
      <alignment horizontal="center"/>
      <protection locked="0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0" xfId="0" applyFill="1" applyBorder="1" applyProtection="1"/>
    <xf numFmtId="0" fontId="20" fillId="0" borderId="0" xfId="0" applyFont="1" applyFill="1" applyBorder="1" applyAlignment="1" applyProtection="1">
      <alignment horizontal="center"/>
      <protection locked="0"/>
    </xf>
    <xf numFmtId="0" fontId="0" fillId="0" borderId="44" xfId="0" applyBorder="1"/>
    <xf numFmtId="0" fontId="0" fillId="0" borderId="43" xfId="0" applyFill="1" applyBorder="1" applyProtection="1"/>
    <xf numFmtId="0" fontId="0" fillId="0" borderId="45" xfId="0" applyFill="1" applyBorder="1" applyProtection="1"/>
    <xf numFmtId="0" fontId="0" fillId="0" borderId="46" xfId="0" applyFill="1" applyBorder="1" applyProtection="1"/>
    <xf numFmtId="0" fontId="20" fillId="0" borderId="46" xfId="0" applyFont="1" applyFill="1" applyBorder="1" applyAlignment="1" applyProtection="1">
      <alignment horizontal="center"/>
      <protection locked="0"/>
    </xf>
    <xf numFmtId="0" fontId="0" fillId="0" borderId="46" xfId="0" applyBorder="1"/>
    <xf numFmtId="0" fontId="0" fillId="0" borderId="47" xfId="0" applyBorder="1"/>
    <xf numFmtId="0" fontId="19" fillId="0" borderId="0" xfId="0" applyFont="1"/>
    <xf numFmtId="0" fontId="0" fillId="0" borderId="0" xfId="0" applyFont="1"/>
    <xf numFmtId="0" fontId="16" fillId="0" borderId="0" xfId="0" applyFont="1"/>
    <xf numFmtId="2" fontId="16" fillId="11" borderId="31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0" fillId="0" borderId="26" xfId="0" applyBorder="1" applyAlignment="1"/>
    <xf numFmtId="0" fontId="0" fillId="3" borderId="16" xfId="0" applyFill="1" applyBorder="1"/>
    <xf numFmtId="0" fontId="0" fillId="0" borderId="2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0" fillId="0" borderId="12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>
      <alignment horizontal="left"/>
    </xf>
    <xf numFmtId="0" fontId="0" fillId="0" borderId="7" xfId="0" applyBorder="1" applyAlignment="1"/>
    <xf numFmtId="0" fontId="0" fillId="0" borderId="0" xfId="0" applyBorder="1" applyAlignment="1"/>
    <xf numFmtId="0" fontId="21" fillId="0" borderId="3" xfId="1" applyFont="1" applyFill="1" applyBorder="1" applyAlignment="1"/>
    <xf numFmtId="0" fontId="21" fillId="0" borderId="0" xfId="1" applyFont="1" applyFill="1" applyBorder="1" applyAlignment="1"/>
    <xf numFmtId="0" fontId="0" fillId="0" borderId="22" xfId="0" applyBorder="1" applyAlignment="1">
      <alignment wrapText="1"/>
    </xf>
    <xf numFmtId="0" fontId="0" fillId="0" borderId="0" xfId="0" applyFill="1" applyBorder="1" applyAlignment="1"/>
    <xf numFmtId="0" fontId="21" fillId="0" borderId="23" xfId="1" applyFont="1" applyFill="1" applyBorder="1" applyAlignment="1"/>
    <xf numFmtId="0" fontId="0" fillId="2" borderId="24" xfId="0" applyFill="1" applyBorder="1" applyAlignment="1">
      <alignment horizontal="center"/>
    </xf>
    <xf numFmtId="0" fontId="0" fillId="3" borderId="1" xfId="0" applyFill="1" applyBorder="1"/>
    <xf numFmtId="0" fontId="14" fillId="3" borderId="13" xfId="0" applyFont="1" applyFill="1" applyBorder="1"/>
    <xf numFmtId="0" fontId="0" fillId="0" borderId="22" xfId="0" applyBorder="1" applyAlignment="1"/>
    <xf numFmtId="0" fontId="0" fillId="0" borderId="23" xfId="0" applyBorder="1" applyAlignment="1"/>
    <xf numFmtId="0" fontId="22" fillId="0" borderId="67" xfId="0" applyFont="1" applyBorder="1" applyAlignment="1">
      <alignment horizontal="left" vertical="center" indent="2"/>
    </xf>
    <xf numFmtId="0" fontId="22" fillId="0" borderId="0" xfId="0" applyFont="1"/>
    <xf numFmtId="0" fontId="0" fillId="0" borderId="0" xfId="0" quotePrefix="1"/>
    <xf numFmtId="0" fontId="23" fillId="0" borderId="0" xfId="0" applyFont="1"/>
    <xf numFmtId="0" fontId="25" fillId="0" borderId="0" xfId="0" applyFont="1" applyAlignment="1"/>
    <xf numFmtId="0" fontId="24" fillId="0" borderId="0" xfId="0" applyFont="1" applyAlignment="1"/>
    <xf numFmtId="0" fontId="26" fillId="0" borderId="0" xfId="0" applyFont="1" applyAlignment="1"/>
    <xf numFmtId="0" fontId="27" fillId="0" borderId="0" xfId="0" applyFont="1"/>
    <xf numFmtId="0" fontId="0" fillId="7" borderId="0" xfId="0" applyFont="1" applyFill="1" applyBorder="1"/>
    <xf numFmtId="0" fontId="1" fillId="7" borderId="0" xfId="0" applyFont="1" applyFill="1" applyBorder="1"/>
    <xf numFmtId="0" fontId="0" fillId="0" borderId="68" xfId="0" applyBorder="1" applyAlignment="1">
      <alignment horizontal="left"/>
    </xf>
    <xf numFmtId="0" fontId="25" fillId="0" borderId="0" xfId="0" applyFont="1" applyBorder="1" applyAlignment="1"/>
    <xf numFmtId="0" fontId="23" fillId="0" borderId="0" xfId="0" applyFont="1" applyBorder="1" applyAlignment="1">
      <alignment horizontal="left" vertical="center" readingOrder="1"/>
    </xf>
    <xf numFmtId="0" fontId="28" fillId="0" borderId="0" xfId="0" applyFont="1"/>
    <xf numFmtId="0" fontId="16" fillId="10" borderId="68" xfId="0" applyFont="1" applyFill="1" applyBorder="1" applyAlignment="1" applyProtection="1">
      <alignment horizontal="center"/>
      <protection locked="0"/>
    </xf>
    <xf numFmtId="0" fontId="16" fillId="9" borderId="52" xfId="0" applyFont="1" applyFill="1" applyBorder="1" applyAlignment="1" applyProtection="1">
      <alignment horizontal="center"/>
      <protection locked="0"/>
    </xf>
    <xf numFmtId="0" fontId="16" fillId="9" borderId="31" xfId="0" applyFont="1" applyFill="1" applyBorder="1" applyAlignment="1" applyProtection="1">
      <alignment horizontal="center"/>
      <protection locked="0"/>
    </xf>
    <xf numFmtId="0" fontId="16" fillId="9" borderId="57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7" fontId="19" fillId="11" borderId="31" xfId="0" applyNumberFormat="1" applyFont="1" applyFill="1" applyBorder="1" applyAlignment="1" applyProtection="1">
      <alignment horizontal="center"/>
      <protection locked="0"/>
    </xf>
    <xf numFmtId="1" fontId="19" fillId="11" borderId="3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88" xfId="0" applyFont="1" applyBorder="1" applyAlignment="1">
      <alignment horizontal="center"/>
    </xf>
    <xf numFmtId="0" fontId="1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2" applyFont="1" applyFill="1" applyBorder="1" applyAlignment="1" applyProtection="1">
      <alignment horizontal="right" vertical="center"/>
    </xf>
    <xf numFmtId="167" fontId="38" fillId="0" borderId="0" xfId="2" applyNumberFormat="1" applyFont="1" applyFill="1" applyBorder="1" applyAlignment="1" applyProtection="1">
      <alignment horizontal="center" vertical="center"/>
    </xf>
    <xf numFmtId="0" fontId="0" fillId="0" borderId="0" xfId="0" applyFont="1" applyBorder="1"/>
    <xf numFmtId="0" fontId="9" fillId="0" borderId="0" xfId="0" applyFont="1" applyFill="1" applyBorder="1" applyAlignment="1">
      <alignment horizontal="center"/>
    </xf>
    <xf numFmtId="0" fontId="14" fillId="0" borderId="0" xfId="0" applyFont="1"/>
    <xf numFmtId="0" fontId="0" fillId="0" borderId="0" xfId="0" applyBorder="1" applyAlignment="1">
      <alignment vertical="top" wrapText="1"/>
    </xf>
    <xf numFmtId="168" fontId="21" fillId="0" borderId="0" xfId="4" applyFont="1" applyFill="1" applyBorder="1" applyAlignment="1" applyProtection="1">
      <alignment horizontal="right" vertical="center"/>
    </xf>
    <xf numFmtId="0" fontId="43" fillId="0" borderId="0" xfId="2" applyFont="1" applyFill="1" applyBorder="1" applyAlignment="1" applyProtection="1">
      <alignment horizontal="left" vertical="center"/>
    </xf>
    <xf numFmtId="167" fontId="44" fillId="0" borderId="0" xfId="2" applyNumberFormat="1" applyFont="1" applyFill="1" applyBorder="1" applyAlignment="1" applyProtection="1">
      <alignment horizontal="center" vertical="center"/>
    </xf>
    <xf numFmtId="0" fontId="39" fillId="0" borderId="0" xfId="0" applyFont="1"/>
    <xf numFmtId="0" fontId="17" fillId="7" borderId="0" xfId="0" applyFont="1" applyFill="1" applyBorder="1"/>
    <xf numFmtId="0" fontId="0" fillId="7" borderId="0" xfId="0" applyFill="1" applyBorder="1"/>
    <xf numFmtId="1" fontId="16" fillId="11" borderId="99" xfId="0" applyNumberFormat="1" applyFont="1" applyFill="1" applyBorder="1" applyAlignment="1" applyProtection="1">
      <alignment horizontal="center"/>
      <protection locked="0"/>
    </xf>
    <xf numFmtId="1" fontId="16" fillId="11" borderId="75" xfId="0" applyNumberFormat="1" applyFont="1" applyFill="1" applyBorder="1" applyAlignment="1" applyProtection="1">
      <alignment horizontal="center"/>
      <protection locked="0"/>
    </xf>
    <xf numFmtId="1" fontId="16" fillId="11" borderId="76" xfId="0" applyNumberFormat="1" applyFont="1" applyFill="1" applyBorder="1" applyAlignment="1" applyProtection="1">
      <alignment horizontal="center"/>
      <protection locked="0"/>
    </xf>
    <xf numFmtId="1" fontId="0" fillId="11" borderId="77" xfId="0" applyNumberFormat="1" applyFill="1" applyBorder="1" applyAlignment="1">
      <alignment horizontal="center"/>
    </xf>
    <xf numFmtId="0" fontId="1" fillId="0" borderId="6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9" fontId="16" fillId="11" borderId="28" xfId="3" applyNumberFormat="1" applyFont="1" applyFill="1" applyBorder="1" applyAlignment="1" applyProtection="1">
      <alignment horizontal="center"/>
      <protection locked="0"/>
    </xf>
    <xf numFmtId="0" fontId="0" fillId="0" borderId="41" xfId="0" applyFont="1" applyBorder="1"/>
    <xf numFmtId="0" fontId="16" fillId="10" borderId="80" xfId="0" applyFont="1" applyFill="1" applyBorder="1" applyAlignment="1" applyProtection="1">
      <alignment horizontal="right"/>
      <protection locked="0"/>
    </xf>
    <xf numFmtId="0" fontId="19" fillId="0" borderId="0" xfId="0" applyFont="1" applyBorder="1"/>
    <xf numFmtId="0" fontId="0" fillId="0" borderId="45" xfId="0" applyBorder="1"/>
    <xf numFmtId="0" fontId="16" fillId="9" borderId="80" xfId="0" applyFont="1" applyFill="1" applyBorder="1" applyAlignment="1" applyProtection="1">
      <protection locked="0"/>
    </xf>
    <xf numFmtId="0" fontId="41" fillId="0" borderId="40" xfId="0" applyFont="1" applyBorder="1"/>
    <xf numFmtId="0" fontId="18" fillId="11" borderId="11" xfId="0" applyFont="1" applyFill="1" applyBorder="1" applyAlignment="1" applyProtection="1">
      <alignment horizontal="left" vertical="center" indent="1"/>
      <protection locked="0"/>
    </xf>
    <xf numFmtId="14" fontId="18" fillId="11" borderId="11" xfId="0" applyNumberFormat="1" applyFont="1" applyFill="1" applyBorder="1" applyAlignment="1" applyProtection="1">
      <alignment horizontal="center" vertical="center"/>
      <protection locked="0"/>
    </xf>
    <xf numFmtId="169" fontId="0" fillId="11" borderId="101" xfId="3" applyNumberFormat="1" applyFont="1" applyFill="1" applyBorder="1" applyAlignment="1">
      <alignment horizontal="center"/>
    </xf>
    <xf numFmtId="169" fontId="0" fillId="11" borderId="102" xfId="3" applyNumberFormat="1" applyFont="1" applyFill="1" applyBorder="1" applyAlignment="1">
      <alignment horizontal="center"/>
    </xf>
    <xf numFmtId="8" fontId="0" fillId="0" borderId="0" xfId="0" applyNumberForma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3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9" fillId="0" borderId="0" xfId="0" applyFont="1" applyFill="1" applyBorder="1"/>
    <xf numFmtId="0" fontId="17" fillId="8" borderId="0" xfId="0" applyFont="1" applyFill="1" applyBorder="1" applyAlignment="1">
      <alignment horizontal="right"/>
    </xf>
    <xf numFmtId="167" fontId="0" fillId="13" borderId="31" xfId="0" applyNumberFormat="1" applyFill="1" applyBorder="1"/>
    <xf numFmtId="167" fontId="0" fillId="13" borderId="85" xfId="0" applyNumberFormat="1" applyFill="1" applyBorder="1" applyAlignment="1">
      <alignment horizontal="center"/>
    </xf>
    <xf numFmtId="169" fontId="0" fillId="13" borderId="85" xfId="3" applyNumberFormat="1" applyFont="1" applyFill="1" applyBorder="1" applyAlignment="1">
      <alignment horizontal="center"/>
    </xf>
    <xf numFmtId="169" fontId="0" fillId="13" borderId="77" xfId="3" applyNumberFormat="1" applyFont="1" applyFill="1" applyBorder="1" applyAlignment="1">
      <alignment horizontal="center"/>
    </xf>
    <xf numFmtId="2" fontId="0" fillId="13" borderId="77" xfId="0" applyNumberFormat="1" applyFill="1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2" xfId="0" applyBorder="1" applyAlignment="1"/>
    <xf numFmtId="0" fontId="36" fillId="0" borderId="0" xfId="0" applyFont="1"/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9" fontId="0" fillId="13" borderId="31" xfId="5" applyFont="1" applyFill="1" applyBorder="1"/>
    <xf numFmtId="0" fontId="1" fillId="0" borderId="10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3" xfId="0" applyBorder="1"/>
    <xf numFmtId="0" fontId="0" fillId="0" borderId="63" xfId="0" applyBorder="1"/>
    <xf numFmtId="0" fontId="0" fillId="0" borderId="37" xfId="0" applyBorder="1"/>
    <xf numFmtId="0" fontId="0" fillId="0" borderId="38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6" fontId="0" fillId="0" borderId="0" xfId="0" applyNumberForma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5" fillId="0" borderId="0" xfId="0" applyFont="1" applyBorder="1" applyProtection="1"/>
    <xf numFmtId="0" fontId="56" fillId="0" borderId="0" xfId="0" applyFont="1" applyFill="1" applyBorder="1" applyProtection="1"/>
    <xf numFmtId="0" fontId="56" fillId="0" borderId="0" xfId="0" applyFont="1" applyBorder="1" applyProtection="1"/>
    <xf numFmtId="0" fontId="16" fillId="0" borderId="0" xfId="0" applyFont="1" applyFill="1" applyBorder="1"/>
    <xf numFmtId="0" fontId="16" fillId="6" borderId="31" xfId="0" applyFont="1" applyFill="1" applyBorder="1" applyAlignment="1">
      <alignment horizontal="center"/>
    </xf>
    <xf numFmtId="0" fontId="12" fillId="0" borderId="8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4" borderId="31" xfId="0" applyFill="1" applyBorder="1"/>
    <xf numFmtId="2" fontId="19" fillId="14" borderId="31" xfId="0" applyNumberFormat="1" applyFont="1" applyFill="1" applyBorder="1" applyAlignment="1" applyProtection="1">
      <alignment horizontal="center"/>
    </xf>
    <xf numFmtId="167" fontId="19" fillId="14" borderId="31" xfId="0" applyNumberFormat="1" applyFont="1" applyFill="1" applyBorder="1" applyAlignment="1" applyProtection="1">
      <alignment horizontal="center"/>
    </xf>
    <xf numFmtId="167" fontId="19" fillId="14" borderId="10" xfId="0" applyNumberFormat="1" applyFont="1" applyFill="1" applyBorder="1" applyAlignment="1" applyProtection="1">
      <alignment horizontal="center"/>
    </xf>
    <xf numFmtId="9" fontId="0" fillId="14" borderId="39" xfId="0" applyNumberFormat="1" applyFill="1" applyBorder="1"/>
    <xf numFmtId="1" fontId="16" fillId="14" borderId="31" xfId="0" applyNumberFormat="1" applyFont="1" applyFill="1" applyBorder="1" applyAlignment="1" applyProtection="1">
      <alignment horizontal="center"/>
    </xf>
    <xf numFmtId="0" fontId="17" fillId="0" borderId="0" xfId="0" applyFont="1"/>
    <xf numFmtId="0" fontId="58" fillId="0" borderId="0" xfId="0" applyFont="1"/>
    <xf numFmtId="0" fontId="16" fillId="11" borderId="31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109" xfId="0" applyFont="1" applyBorder="1" applyAlignment="1">
      <alignment horizontal="center"/>
    </xf>
    <xf numFmtId="0" fontId="16" fillId="15" borderId="31" xfId="0" applyFont="1" applyFill="1" applyBorder="1"/>
    <xf numFmtId="0" fontId="0" fillId="15" borderId="31" xfId="0" applyFill="1" applyBorder="1" applyAlignment="1">
      <alignment wrapText="1"/>
    </xf>
    <xf numFmtId="0" fontId="0" fillId="15" borderId="31" xfId="0" applyFill="1" applyBorder="1" applyAlignment="1">
      <alignment horizontal="center"/>
    </xf>
    <xf numFmtId="44" fontId="0" fillId="15" borderId="31" xfId="3" applyFont="1" applyFill="1" applyBorder="1" applyAlignment="1">
      <alignment horizontal="center"/>
    </xf>
    <xf numFmtId="167" fontId="16" fillId="11" borderId="31" xfId="0" applyNumberFormat="1" applyFont="1" applyFill="1" applyBorder="1" applyAlignment="1" applyProtection="1">
      <alignment horizontal="center"/>
      <protection locked="0"/>
    </xf>
    <xf numFmtId="5" fontId="0" fillId="13" borderId="85" xfId="3" applyNumberFormat="1" applyFont="1" applyFill="1" applyBorder="1" applyAlignment="1">
      <alignment horizontal="center"/>
    </xf>
    <xf numFmtId="44" fontId="16" fillId="11" borderId="31" xfId="3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98" xfId="0" applyFont="1" applyBorder="1"/>
    <xf numFmtId="0" fontId="0" fillId="0" borderId="50" xfId="0" applyBorder="1"/>
    <xf numFmtId="0" fontId="0" fillId="0" borderId="25" xfId="0" applyBorder="1"/>
    <xf numFmtId="0" fontId="0" fillId="0" borderId="7" xfId="0" applyBorder="1"/>
    <xf numFmtId="0" fontId="1" fillId="0" borderId="0" xfId="0" applyFont="1" applyBorder="1" applyAlignment="1">
      <alignment horizontal="left"/>
    </xf>
    <xf numFmtId="0" fontId="0" fillId="0" borderId="13" xfId="0" applyBorder="1"/>
    <xf numFmtId="0" fontId="0" fillId="0" borderId="7" xfId="0" applyBorder="1" applyAlignment="1">
      <alignment horizontal="right"/>
    </xf>
    <xf numFmtId="0" fontId="0" fillId="0" borderId="24" xfId="0" applyBorder="1"/>
    <xf numFmtId="0" fontId="1" fillId="0" borderId="7" xfId="0" applyFont="1" applyBorder="1"/>
    <xf numFmtId="0" fontId="1" fillId="16" borderId="22" xfId="0" applyFont="1" applyFill="1" applyBorder="1"/>
    <xf numFmtId="0" fontId="0" fillId="16" borderId="23" xfId="0" applyFill="1" applyBorder="1"/>
    <xf numFmtId="0" fontId="1" fillId="17" borderId="22" xfId="0" applyFont="1" applyFill="1" applyBorder="1"/>
    <xf numFmtId="0" fontId="0" fillId="17" borderId="23" xfId="0" applyFill="1" applyBorder="1"/>
    <xf numFmtId="0" fontId="1" fillId="0" borderId="34" xfId="0" applyFont="1" applyBorder="1"/>
    <xf numFmtId="167" fontId="0" fillId="0" borderId="0" xfId="0" applyNumberFormat="1"/>
    <xf numFmtId="0" fontId="0" fillId="0" borderId="0" xfId="0" applyAlignment="1"/>
    <xf numFmtId="0" fontId="0" fillId="0" borderId="2" xfId="0" applyBorder="1"/>
    <xf numFmtId="0" fontId="16" fillId="0" borderId="0" xfId="0" quotePrefix="1" applyFont="1" applyFill="1" applyBorder="1" applyAlignment="1" applyProtection="1">
      <alignment horizontal="center"/>
    </xf>
    <xf numFmtId="1" fontId="16" fillId="10" borderId="99" xfId="0" quotePrefix="1" applyNumberFormat="1" applyFont="1" applyFill="1" applyBorder="1" applyAlignment="1" applyProtection="1">
      <alignment horizontal="center"/>
    </xf>
    <xf numFmtId="0" fontId="0" fillId="0" borderId="6" xfId="0" applyBorder="1"/>
    <xf numFmtId="1" fontId="16" fillId="10" borderId="75" xfId="0" quotePrefix="1" applyNumberFormat="1" applyFont="1" applyFill="1" applyBorder="1" applyAlignment="1" applyProtection="1">
      <alignment horizontal="center"/>
    </xf>
    <xf numFmtId="1" fontId="1" fillId="0" borderId="68" xfId="0" applyNumberFormat="1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169" fontId="0" fillId="0" borderId="0" xfId="3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4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9" fontId="16" fillId="11" borderId="70" xfId="3" applyNumberFormat="1" applyFont="1" applyFill="1" applyBorder="1" applyAlignment="1" applyProtection="1">
      <alignment horizontal="center"/>
      <protection locked="0"/>
    </xf>
    <xf numFmtId="169" fontId="16" fillId="11" borderId="31" xfId="3" applyNumberFormat="1" applyFont="1" applyFill="1" applyBorder="1" applyAlignment="1" applyProtection="1">
      <alignment horizontal="center"/>
      <protection locked="0"/>
    </xf>
    <xf numFmtId="169" fontId="16" fillId="11" borderId="39" xfId="3" applyNumberFormat="1" applyFont="1" applyFill="1" applyBorder="1" applyAlignment="1" applyProtection="1">
      <alignment horizontal="center"/>
      <protection locked="0"/>
    </xf>
    <xf numFmtId="0" fontId="1" fillId="17" borderId="26" xfId="0" applyFont="1" applyFill="1" applyBorder="1"/>
    <xf numFmtId="0" fontId="0" fillId="17" borderId="5" xfId="0" applyFill="1" applyBorder="1"/>
    <xf numFmtId="0" fontId="0" fillId="17" borderId="6" xfId="0" applyFill="1" applyBorder="1"/>
    <xf numFmtId="0" fontId="1" fillId="16" borderId="26" xfId="0" applyFont="1" applyFill="1" applyBorder="1"/>
    <xf numFmtId="0" fontId="0" fillId="16" borderId="5" xfId="0" applyFill="1" applyBorder="1"/>
    <xf numFmtId="0" fontId="0" fillId="16" borderId="6" xfId="0" applyFill="1" applyBorder="1"/>
    <xf numFmtId="0" fontId="16" fillId="11" borderId="31" xfId="0" applyFont="1" applyFill="1" applyBorder="1" applyAlignment="1" applyProtection="1">
      <alignment horizontal="center"/>
      <protection locked="0"/>
    </xf>
    <xf numFmtId="44" fontId="0" fillId="0" borderId="33" xfId="3" applyFont="1" applyFill="1" applyBorder="1" applyAlignment="1">
      <alignment horizontal="center"/>
    </xf>
    <xf numFmtId="44" fontId="0" fillId="0" borderId="0" xfId="3" applyFont="1" applyFill="1" applyBorder="1" applyAlignment="1">
      <alignment horizontal="center"/>
    </xf>
    <xf numFmtId="0" fontId="0" fillId="15" borderId="28" xfId="0" applyFill="1" applyBorder="1" applyAlignment="1">
      <alignment wrapText="1"/>
    </xf>
    <xf numFmtId="0" fontId="0" fillId="15" borderId="28" xfId="0" applyFill="1" applyBorder="1" applyAlignment="1">
      <alignment horizontal="center"/>
    </xf>
    <xf numFmtId="44" fontId="0" fillId="15" borderId="28" xfId="3" applyFont="1" applyFill="1" applyBorder="1" applyAlignment="1">
      <alignment horizontal="center"/>
    </xf>
    <xf numFmtId="0" fontId="0" fillId="15" borderId="115" xfId="0" applyFill="1" applyBorder="1" applyAlignment="1">
      <alignment wrapText="1"/>
    </xf>
    <xf numFmtId="0" fontId="0" fillId="15" borderId="115" xfId="0" applyFill="1" applyBorder="1" applyAlignment="1">
      <alignment horizontal="center"/>
    </xf>
    <xf numFmtId="44" fontId="0" fillId="15" borderId="115" xfId="3" applyFont="1" applyFill="1" applyBorder="1" applyAlignment="1">
      <alignment horizontal="center"/>
    </xf>
    <xf numFmtId="0" fontId="61" fillId="0" borderId="0" xfId="6"/>
    <xf numFmtId="3" fontId="0" fillId="13" borderId="29" xfId="0" applyNumberFormat="1" applyFill="1" applyBorder="1" applyAlignment="1">
      <alignment horizontal="center"/>
    </xf>
    <xf numFmtId="3" fontId="0" fillId="13" borderId="77" xfId="0" applyNumberFormat="1" applyFill="1" applyBorder="1" applyAlignment="1">
      <alignment horizontal="center"/>
    </xf>
    <xf numFmtId="3" fontId="0" fillId="13" borderId="75" xfId="0" applyNumberFormat="1" applyFill="1" applyBorder="1" applyAlignment="1">
      <alignment horizontal="center"/>
    </xf>
    <xf numFmtId="3" fontId="0" fillId="13" borderId="80" xfId="0" applyNumberFormat="1" applyFill="1" applyBorder="1" applyAlignment="1">
      <alignment horizontal="center"/>
    </xf>
    <xf numFmtId="3" fontId="0" fillId="13" borderId="85" xfId="0" applyNumberFormat="1" applyFill="1" applyBorder="1" applyAlignment="1">
      <alignment horizontal="center"/>
    </xf>
    <xf numFmtId="3" fontId="0" fillId="13" borderId="84" xfId="0" applyNumberFormat="1" applyFill="1" applyBorder="1" applyAlignment="1">
      <alignment horizontal="center"/>
    </xf>
    <xf numFmtId="3" fontId="0" fillId="13" borderId="81" xfId="0" applyNumberFormat="1" applyFill="1" applyBorder="1" applyAlignment="1">
      <alignment horizontal="center"/>
    </xf>
    <xf numFmtId="3" fontId="0" fillId="13" borderId="86" xfId="0" applyNumberFormat="1" applyFill="1" applyBorder="1" applyAlignment="1">
      <alignment horizontal="center"/>
    </xf>
    <xf numFmtId="3" fontId="0" fillId="13" borderId="82" xfId="0" applyNumberFormat="1" applyFill="1" applyBorder="1" applyAlignment="1">
      <alignment horizontal="center"/>
    </xf>
    <xf numFmtId="1" fontId="19" fillId="14" borderId="31" xfId="0" applyNumberFormat="1" applyFont="1" applyFill="1" applyBorder="1" applyAlignment="1" applyProtection="1">
      <alignment horizontal="center"/>
    </xf>
    <xf numFmtId="3" fontId="16" fillId="11" borderId="31" xfId="0" applyNumberFormat="1" applyFont="1" applyFill="1" applyBorder="1" applyAlignment="1" applyProtection="1">
      <alignment horizontal="center"/>
      <protection locked="0"/>
    </xf>
    <xf numFmtId="3" fontId="16" fillId="9" borderId="31" xfId="0" applyNumberFormat="1" applyFont="1" applyFill="1" applyBorder="1" applyAlignment="1" applyProtection="1">
      <protection locked="0"/>
    </xf>
    <xf numFmtId="3" fontId="0" fillId="13" borderId="107" xfId="0" applyNumberFormat="1" applyFill="1" applyBorder="1" applyAlignment="1">
      <alignment horizontal="center"/>
    </xf>
    <xf numFmtId="3" fontId="0" fillId="13" borderId="9" xfId="0" applyNumberFormat="1" applyFill="1" applyBorder="1" applyAlignment="1">
      <alignment horizontal="center"/>
    </xf>
    <xf numFmtId="3" fontId="0" fillId="13" borderId="108" xfId="0" applyNumberFormat="1" applyFill="1" applyBorder="1" applyAlignment="1">
      <alignment horizontal="center"/>
    </xf>
    <xf numFmtId="3" fontId="0" fillId="13" borderId="36" xfId="0" applyNumberFormat="1" applyFill="1" applyBorder="1" applyAlignment="1">
      <alignment horizontal="center"/>
    </xf>
    <xf numFmtId="3" fontId="0" fillId="13" borderId="103" xfId="0" applyNumberFormat="1" applyFill="1" applyBorder="1" applyAlignment="1">
      <alignment horizontal="center"/>
    </xf>
    <xf numFmtId="3" fontId="0" fillId="13" borderId="94" xfId="0" applyNumberFormat="1" applyFill="1" applyBorder="1" applyAlignment="1">
      <alignment horizontal="center"/>
    </xf>
    <xf numFmtId="3" fontId="0" fillId="13" borderId="104" xfId="0" applyNumberFormat="1" applyFill="1" applyBorder="1" applyAlignment="1">
      <alignment horizontal="center"/>
    </xf>
    <xf numFmtId="0" fontId="0" fillId="12" borderId="31" xfId="0" applyFill="1" applyBorder="1" applyProtection="1">
      <protection locked="0"/>
    </xf>
    <xf numFmtId="170" fontId="16" fillId="11" borderId="31" xfId="0" applyNumberFormat="1" applyFont="1" applyFill="1" applyBorder="1" applyAlignment="1" applyProtection="1">
      <alignment horizontal="center"/>
    </xf>
    <xf numFmtId="170" fontId="0" fillId="0" borderId="0" xfId="0" applyNumberFormat="1"/>
    <xf numFmtId="170" fontId="0" fillId="13" borderId="1" xfId="0" applyNumberFormat="1" applyFill="1" applyBorder="1"/>
    <xf numFmtId="170" fontId="0" fillId="13" borderId="110" xfId="0" applyNumberFormat="1" applyFill="1" applyBorder="1"/>
    <xf numFmtId="170" fontId="0" fillId="13" borderId="100" xfId="0" applyNumberFormat="1" applyFill="1" applyBorder="1"/>
    <xf numFmtId="3" fontId="16" fillId="11" borderId="52" xfId="0" applyNumberFormat="1" applyFont="1" applyFill="1" applyBorder="1" applyAlignment="1" applyProtection="1">
      <alignment horizontal="center"/>
      <protection locked="0"/>
    </xf>
    <xf numFmtId="3" fontId="16" fillId="11" borderId="57" xfId="0" applyNumberFormat="1" applyFont="1" applyFill="1" applyBorder="1" applyAlignment="1" applyProtection="1">
      <alignment horizontal="center"/>
      <protection locked="0"/>
    </xf>
    <xf numFmtId="3" fontId="16" fillId="11" borderId="77" xfId="0" applyNumberFormat="1" applyFont="1" applyFill="1" applyBorder="1" applyAlignment="1" applyProtection="1">
      <alignment horizontal="center"/>
      <protection locked="0"/>
    </xf>
    <xf numFmtId="3" fontId="0" fillId="11" borderId="77" xfId="0" applyNumberFormat="1" applyFill="1" applyBorder="1" applyAlignment="1">
      <alignment horizontal="center"/>
    </xf>
    <xf numFmtId="1" fontId="16" fillId="13" borderId="31" xfId="0" quotePrefix="1" applyNumberFormat="1" applyFont="1" applyFill="1" applyBorder="1" applyAlignment="1" applyProtection="1">
      <alignment horizontal="center"/>
    </xf>
    <xf numFmtId="0" fontId="36" fillId="0" borderId="0" xfId="0" applyFont="1" applyBorder="1"/>
    <xf numFmtId="0" fontId="36" fillId="0" borderId="1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116" xfId="0" applyNumberFormat="1" applyBorder="1" applyAlignment="1">
      <alignment horizontal="center"/>
    </xf>
    <xf numFmtId="167" fontId="0" fillId="0" borderId="117" xfId="0" applyNumberFormat="1" applyBorder="1" applyAlignment="1">
      <alignment horizontal="center"/>
    </xf>
    <xf numFmtId="1" fontId="0" fillId="0" borderId="118" xfId="0" applyNumberFormat="1" applyBorder="1" applyAlignment="1">
      <alignment horizontal="center"/>
    </xf>
    <xf numFmtId="2" fontId="0" fillId="0" borderId="119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123" xfId="0" applyBorder="1" applyAlignment="1">
      <alignment horizontal="center"/>
    </xf>
    <xf numFmtId="2" fontId="1" fillId="0" borderId="71" xfId="0" applyNumberFormat="1" applyFont="1" applyBorder="1" applyAlignment="1">
      <alignment horizontal="center"/>
    </xf>
    <xf numFmtId="1" fontId="0" fillId="0" borderId="90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2" fontId="1" fillId="0" borderId="72" xfId="0" applyNumberFormat="1" applyFont="1" applyBorder="1" applyAlignment="1">
      <alignment horizontal="center"/>
    </xf>
    <xf numFmtId="1" fontId="0" fillId="0" borderId="124" xfId="0" applyNumberFormat="1" applyBorder="1" applyAlignment="1">
      <alignment horizontal="center"/>
    </xf>
    <xf numFmtId="167" fontId="0" fillId="0" borderId="125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4" xfId="0" applyFont="1" applyBorder="1" applyAlignment="1">
      <alignment horizontal="center"/>
    </xf>
    <xf numFmtId="44" fontId="0" fillId="15" borderId="10" xfId="3" applyFont="1" applyFill="1" applyBorder="1" applyAlignment="1">
      <alignment horizontal="center"/>
    </xf>
    <xf numFmtId="44" fontId="0" fillId="15" borderId="120" xfId="3" applyFont="1" applyFill="1" applyBorder="1" applyAlignment="1">
      <alignment horizontal="center"/>
    </xf>
    <xf numFmtId="44" fontId="0" fillId="15" borderId="37" xfId="3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171" fontId="63" fillId="0" borderId="0" xfId="0" applyNumberFormat="1" applyFont="1"/>
    <xf numFmtId="14" fontId="0" fillId="0" borderId="0" xfId="0" applyNumberFormat="1"/>
    <xf numFmtId="171" fontId="6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71" fontId="64" fillId="0" borderId="0" xfId="0" applyNumberFormat="1" applyFont="1"/>
    <xf numFmtId="0" fontId="0" fillId="0" borderId="0" xfId="0" applyBorder="1" applyAlignment="1">
      <alignment wrapText="1"/>
    </xf>
    <xf numFmtId="171" fontId="63" fillId="0" borderId="0" xfId="0" applyNumberFormat="1" applyFont="1" applyBorder="1"/>
    <xf numFmtId="171" fontId="64" fillId="0" borderId="0" xfId="0" applyNumberFormat="1" applyFont="1" applyBorder="1"/>
    <xf numFmtId="0" fontId="0" fillId="0" borderId="128" xfId="0" applyBorder="1"/>
    <xf numFmtId="0" fontId="0" fillId="0" borderId="128" xfId="0" applyBorder="1" applyAlignment="1">
      <alignment wrapText="1"/>
    </xf>
    <xf numFmtId="171" fontId="63" fillId="0" borderId="128" xfId="0" applyNumberFormat="1" applyFont="1" applyBorder="1"/>
    <xf numFmtId="0" fontId="0" fillId="0" borderId="0" xfId="0" applyFill="1" applyBorder="1" applyAlignment="1">
      <alignment wrapText="1"/>
    </xf>
    <xf numFmtId="0" fontId="16" fillId="14" borderId="31" xfId="0" quotePrefix="1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center"/>
    </xf>
    <xf numFmtId="0" fontId="0" fillId="15" borderId="39" xfId="0" applyFill="1" applyBorder="1" applyAlignment="1">
      <alignment horizontal="center"/>
    </xf>
    <xf numFmtId="44" fontId="0" fillId="15" borderId="39" xfId="3" applyFont="1" applyFill="1" applyBorder="1" applyAlignment="1">
      <alignment horizontal="center"/>
    </xf>
    <xf numFmtId="44" fontId="0" fillId="15" borderId="34" xfId="3" applyFont="1" applyFill="1" applyBorder="1" applyAlignment="1">
      <alignment horizontal="center"/>
    </xf>
    <xf numFmtId="0" fontId="0" fillId="15" borderId="129" xfId="0" applyFill="1" applyBorder="1" applyAlignment="1">
      <alignment wrapText="1"/>
    </xf>
    <xf numFmtId="0" fontId="0" fillId="15" borderId="130" xfId="0" applyFill="1" applyBorder="1" applyAlignment="1">
      <alignment wrapText="1"/>
    </xf>
    <xf numFmtId="0" fontId="0" fillId="15" borderId="130" xfId="0" applyFill="1" applyBorder="1" applyAlignment="1">
      <alignment horizontal="center"/>
    </xf>
    <xf numFmtId="44" fontId="0" fillId="15" borderId="130" xfId="3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2" fontId="16" fillId="14" borderId="8" xfId="0" applyNumberFormat="1" applyFont="1" applyFill="1" applyBorder="1" applyAlignment="1" applyProtection="1">
      <alignment horizontal="center"/>
    </xf>
    <xf numFmtId="2" fontId="16" fillId="14" borderId="9" xfId="0" applyNumberFormat="1" applyFont="1" applyFill="1" applyBorder="1" applyAlignment="1" applyProtection="1">
      <alignment horizontal="center"/>
    </xf>
    <xf numFmtId="2" fontId="16" fillId="14" borderId="72" xfId="0" applyNumberFormat="1" applyFont="1" applyFill="1" applyBorder="1" applyAlignment="1" applyProtection="1">
      <alignment horizontal="center"/>
    </xf>
    <xf numFmtId="2" fontId="16" fillId="14" borderId="54" xfId="0" applyNumberFormat="1" applyFont="1" applyFill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10" borderId="8" xfId="0" applyFont="1" applyFill="1" applyBorder="1" applyAlignment="1" applyProtection="1">
      <alignment horizontal="center"/>
      <protection locked="0"/>
    </xf>
    <xf numFmtId="0" fontId="16" fillId="10" borderId="48" xfId="0" applyFont="1" applyFill="1" applyBorder="1" applyAlignment="1" applyProtection="1">
      <alignment horizontal="center"/>
      <protection locked="0"/>
    </xf>
    <xf numFmtId="0" fontId="16" fillId="10" borderId="72" xfId="0" applyFont="1" applyFill="1" applyBorder="1" applyAlignment="1" applyProtection="1">
      <alignment horizontal="center"/>
      <protection locked="0"/>
    </xf>
    <xf numFmtId="0" fontId="16" fillId="10" borderId="58" xfId="0" applyFont="1" applyFill="1" applyBorder="1" applyAlignment="1" applyProtection="1">
      <alignment horizontal="center"/>
      <protection locked="0"/>
    </xf>
    <xf numFmtId="2" fontId="16" fillId="14" borderId="71" xfId="0" applyNumberFormat="1" applyFont="1" applyFill="1" applyBorder="1" applyAlignment="1" applyProtection="1">
      <alignment horizontal="center"/>
    </xf>
    <xf numFmtId="2" fontId="16" fillId="14" borderId="38" xfId="0" applyNumberFormat="1" applyFont="1" applyFill="1" applyBorder="1" applyAlignment="1" applyProtection="1">
      <alignment horizontal="center"/>
    </xf>
    <xf numFmtId="3" fontId="0" fillId="13" borderId="55" xfId="0" applyNumberFormat="1" applyFill="1" applyBorder="1" applyAlignment="1">
      <alignment horizontal="center"/>
    </xf>
    <xf numFmtId="3" fontId="0" fillId="13" borderId="54" xfId="0" applyNumberFormat="1" applyFill="1" applyBorder="1" applyAlignment="1">
      <alignment horizontal="center"/>
    </xf>
    <xf numFmtId="167" fontId="0" fillId="13" borderId="55" xfId="0" applyNumberFormat="1" applyFill="1" applyBorder="1" applyAlignment="1">
      <alignment horizontal="center"/>
    </xf>
    <xf numFmtId="167" fontId="0" fillId="13" borderId="56" xfId="0" applyNumberFormat="1" applyFill="1" applyBorder="1" applyAlignment="1">
      <alignment horizontal="center"/>
    </xf>
    <xf numFmtId="167" fontId="0" fillId="13" borderId="58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2" borderId="49" xfId="0" applyFill="1" applyBorder="1" applyAlignment="1" applyProtection="1">
      <alignment horizontal="center"/>
      <protection locked="0"/>
    </xf>
    <xf numFmtId="0" fontId="0" fillId="12" borderId="50" xfId="0" applyFill="1" applyBorder="1" applyAlignment="1" applyProtection="1">
      <alignment horizontal="center"/>
      <protection locked="0"/>
    </xf>
    <xf numFmtId="0" fontId="0" fillId="12" borderId="51" xfId="0" applyFill="1" applyBorder="1" applyAlignment="1" applyProtection="1">
      <alignment horizontal="center"/>
      <protection locked="0"/>
    </xf>
    <xf numFmtId="0" fontId="0" fillId="12" borderId="10" xfId="0" applyFill="1" applyBorder="1" applyAlignment="1" applyProtection="1">
      <alignment horizontal="center"/>
      <protection locked="0"/>
    </xf>
    <xf numFmtId="0" fontId="0" fillId="12" borderId="30" xfId="0" applyFill="1" applyBorder="1" applyAlignment="1" applyProtection="1">
      <alignment horizontal="center"/>
      <protection locked="0"/>
    </xf>
    <xf numFmtId="0" fontId="0" fillId="12" borderId="9" xfId="0" applyFill="1" applyBorder="1" applyAlignment="1" applyProtection="1">
      <alignment horizontal="center"/>
      <protection locked="0"/>
    </xf>
    <xf numFmtId="3" fontId="0" fillId="13" borderId="10" xfId="0" applyNumberFormat="1" applyFill="1" applyBorder="1" applyAlignment="1">
      <alignment horizontal="center"/>
    </xf>
    <xf numFmtId="3" fontId="0" fillId="13" borderId="9" xfId="0" applyNumberFormat="1" applyFill="1" applyBorder="1" applyAlignment="1">
      <alignment horizontal="center"/>
    </xf>
    <xf numFmtId="167" fontId="0" fillId="13" borderId="10" xfId="0" applyNumberFormat="1" applyFill="1" applyBorder="1" applyAlignment="1">
      <alignment horizontal="center"/>
    </xf>
    <xf numFmtId="167" fontId="0" fillId="13" borderId="30" xfId="0" applyNumberFormat="1" applyFill="1" applyBorder="1" applyAlignment="1">
      <alignment horizontal="center"/>
    </xf>
    <xf numFmtId="167" fontId="0" fillId="13" borderId="48" xfId="0" applyNumberFormat="1" applyFill="1" applyBorder="1" applyAlignment="1">
      <alignment horizontal="center"/>
    </xf>
    <xf numFmtId="3" fontId="0" fillId="13" borderId="49" xfId="0" applyNumberFormat="1" applyFill="1" applyBorder="1" applyAlignment="1">
      <alignment horizontal="center"/>
    </xf>
    <xf numFmtId="3" fontId="0" fillId="13" borderId="51" xfId="0" applyNumberFormat="1" applyFill="1" applyBorder="1" applyAlignment="1">
      <alignment horizontal="center"/>
    </xf>
    <xf numFmtId="167" fontId="0" fillId="13" borderId="49" xfId="0" applyNumberFormat="1" applyFill="1" applyBorder="1" applyAlignment="1">
      <alignment horizontal="center"/>
    </xf>
    <xf numFmtId="167" fontId="0" fillId="13" borderId="50" xfId="0" applyNumberFormat="1" applyFill="1" applyBorder="1" applyAlignment="1">
      <alignment horizontal="center"/>
    </xf>
    <xf numFmtId="167" fontId="0" fillId="13" borderId="53" xfId="0" applyNumberFormat="1" applyFill="1" applyBorder="1" applyAlignment="1">
      <alignment horizontal="center"/>
    </xf>
    <xf numFmtId="0" fontId="0" fillId="12" borderId="55" xfId="0" applyFill="1" applyBorder="1" applyAlignment="1" applyProtection="1">
      <alignment horizontal="center"/>
      <protection locked="0"/>
    </xf>
    <xf numFmtId="0" fontId="0" fillId="12" borderId="56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9" borderId="30" xfId="0" applyFont="1" applyFill="1" applyBorder="1" applyAlignment="1" applyProtection="1">
      <alignment horizontal="center" vertical="center"/>
      <protection locked="0"/>
    </xf>
    <xf numFmtId="0" fontId="18" fillId="9" borderId="11" xfId="0" applyFont="1" applyFill="1" applyBorder="1" applyAlignment="1" applyProtection="1">
      <alignment horizontal="center" vertical="center"/>
      <protection locked="0"/>
    </xf>
    <xf numFmtId="0" fontId="16" fillId="10" borderId="9" xfId="0" applyFont="1" applyFill="1" applyBorder="1" applyAlignment="1" applyProtection="1">
      <alignment horizontal="center"/>
      <protection locked="0"/>
    </xf>
    <xf numFmtId="0" fontId="16" fillId="10" borderId="2" xfId="0" applyFont="1" applyFill="1" applyBorder="1" applyAlignment="1" applyProtection="1">
      <alignment horizontal="center"/>
      <protection locked="0"/>
    </xf>
    <xf numFmtId="0" fontId="16" fillId="10" borderId="66" xfId="0" applyFont="1" applyFill="1" applyBorder="1" applyAlignment="1" applyProtection="1">
      <alignment horizontal="center"/>
      <protection locked="0"/>
    </xf>
    <xf numFmtId="0" fontId="16" fillId="10" borderId="7" xfId="0" applyFont="1" applyFill="1" applyBorder="1" applyAlignment="1" applyProtection="1">
      <alignment horizontal="center"/>
      <protection locked="0"/>
    </xf>
    <xf numFmtId="0" fontId="16" fillId="10" borderId="63" xfId="0" applyFont="1" applyFill="1" applyBorder="1" applyAlignment="1" applyProtection="1">
      <alignment horizontal="center"/>
      <protection locked="0"/>
    </xf>
    <xf numFmtId="0" fontId="29" fillId="0" borderId="70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7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89" xfId="0" applyFont="1" applyBorder="1" applyAlignment="1">
      <alignment horizontal="center" wrapText="1"/>
    </xf>
    <xf numFmtId="0" fontId="35" fillId="0" borderId="9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52" fillId="0" borderId="39" xfId="0" applyFont="1" applyBorder="1" applyAlignment="1">
      <alignment horizontal="center" wrapText="1"/>
    </xf>
    <xf numFmtId="0" fontId="52" fillId="0" borderId="28" xfId="0" applyFont="1" applyBorder="1" applyAlignment="1">
      <alignment horizontal="center" wrapText="1"/>
    </xf>
    <xf numFmtId="0" fontId="35" fillId="0" borderId="90" xfId="0" applyFont="1" applyBorder="1" applyAlignment="1">
      <alignment horizontal="center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41" fillId="0" borderId="34" xfId="0" applyFont="1" applyBorder="1" applyAlignment="1">
      <alignment horizontal="left" vertical="top" wrapText="1"/>
    </xf>
    <xf numFmtId="0" fontId="41" fillId="0" borderId="36" xfId="0" applyFont="1" applyBorder="1" applyAlignment="1">
      <alignment horizontal="left" vertical="top" wrapText="1"/>
    </xf>
    <xf numFmtId="0" fontId="41" fillId="0" borderId="33" xfId="0" applyFont="1" applyBorder="1" applyAlignment="1">
      <alignment horizontal="left" vertical="top" wrapText="1"/>
    </xf>
    <xf numFmtId="0" fontId="41" fillId="0" borderId="63" xfId="0" applyFont="1" applyBorder="1" applyAlignment="1">
      <alignment horizontal="left" vertical="top" wrapText="1"/>
    </xf>
    <xf numFmtId="0" fontId="41" fillId="0" borderId="37" xfId="0" applyFont="1" applyBorder="1" applyAlignment="1">
      <alignment horizontal="left" vertical="top" wrapText="1"/>
    </xf>
    <xf numFmtId="0" fontId="41" fillId="0" borderId="38" xfId="0" applyFont="1" applyBorder="1" applyAlignment="1">
      <alignment horizontal="left" vertical="top" wrapText="1"/>
    </xf>
    <xf numFmtId="0" fontId="1" fillId="0" borderId="95" xfId="0" applyFont="1" applyBorder="1" applyAlignment="1">
      <alignment horizontal="center" vertical="center" wrapText="1"/>
    </xf>
    <xf numFmtId="0" fontId="1" fillId="0" borderId="96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16" fillId="10" borderId="37" xfId="0" applyFont="1" applyFill="1" applyBorder="1" applyAlignment="1" applyProtection="1">
      <alignment horizontal="center"/>
      <protection locked="0"/>
    </xf>
    <xf numFmtId="0" fontId="16" fillId="10" borderId="38" xfId="0" applyFont="1" applyFill="1" applyBorder="1" applyAlignment="1" applyProtection="1">
      <alignment horizontal="center"/>
      <protection locked="0"/>
    </xf>
    <xf numFmtId="0" fontId="12" fillId="0" borderId="92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0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97" xfId="0" applyFont="1" applyBorder="1" applyAlignment="1">
      <alignment horizontal="center" vertical="center" wrapText="1"/>
    </xf>
    <xf numFmtId="0" fontId="35" fillId="0" borderId="93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47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9" fillId="0" borderId="1" xfId="0" applyFont="1" applyBorder="1" applyAlignment="1">
      <alignment horizontal="center" wrapText="1"/>
    </xf>
    <xf numFmtId="0" fontId="47" fillId="0" borderId="4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7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" fontId="0" fillId="11" borderId="101" xfId="0" applyNumberFormat="1" applyFill="1" applyBorder="1" applyAlignment="1">
      <alignment horizontal="center"/>
    </xf>
    <xf numFmtId="3" fontId="0" fillId="11" borderId="102" xfId="0" applyNumberFormat="1" applyFill="1" applyBorder="1" applyAlignment="1">
      <alignment horizontal="center"/>
    </xf>
    <xf numFmtId="0" fontId="0" fillId="0" borderId="2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1" fillId="0" borderId="112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left" vertical="center" wrapText="1"/>
    </xf>
    <xf numFmtId="0" fontId="1" fillId="16" borderId="5" xfId="0" applyFont="1" applyFill="1" applyBorder="1" applyAlignment="1">
      <alignment horizontal="left" vertical="center" wrapText="1"/>
    </xf>
    <xf numFmtId="0" fontId="1" fillId="16" borderId="6" xfId="0" applyFont="1" applyFill="1" applyBorder="1" applyAlignment="1">
      <alignment horizontal="left" vertical="center" wrapText="1"/>
    </xf>
    <xf numFmtId="0" fontId="0" fillId="11" borderId="55" xfId="0" applyFill="1" applyBorder="1" applyAlignment="1">
      <alignment horizontal="center"/>
    </xf>
    <xf numFmtId="0" fontId="0" fillId="11" borderId="56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16" fillId="11" borderId="98" xfId="0" applyFont="1" applyFill="1" applyBorder="1" applyAlignment="1" applyProtection="1">
      <alignment horizontal="center"/>
      <protection locked="0"/>
    </xf>
    <xf numFmtId="0" fontId="16" fillId="11" borderId="51" xfId="0" applyFont="1" applyFill="1" applyBorder="1" applyAlignment="1" applyProtection="1">
      <alignment horizontal="center"/>
      <protection locked="0"/>
    </xf>
    <xf numFmtId="0" fontId="16" fillId="11" borderId="8" xfId="0" applyFont="1" applyFill="1" applyBorder="1" applyAlignment="1" applyProtection="1">
      <alignment horizontal="center"/>
      <protection locked="0"/>
    </xf>
    <xf numFmtId="0" fontId="16" fillId="11" borderId="9" xfId="0" applyFont="1" applyFill="1" applyBorder="1" applyAlignment="1" applyProtection="1">
      <alignment horizontal="center"/>
      <protection locked="0"/>
    </xf>
    <xf numFmtId="0" fontId="16" fillId="11" borderId="72" xfId="0" applyFont="1" applyFill="1" applyBorder="1" applyAlignment="1" applyProtection="1">
      <alignment horizontal="center"/>
      <protection locked="0"/>
    </xf>
    <xf numFmtId="0" fontId="16" fillId="11" borderId="54" xfId="0" applyFont="1" applyFill="1" applyBorder="1" applyAlignment="1" applyProtection="1">
      <alignment horizontal="center"/>
      <protection locked="0"/>
    </xf>
    <xf numFmtId="0" fontId="0" fillId="11" borderId="49" xfId="0" applyFill="1" applyBorder="1" applyAlignment="1">
      <alignment horizontal="center"/>
    </xf>
    <xf numFmtId="0" fontId="0" fillId="11" borderId="50" xfId="0" applyFill="1" applyBorder="1" applyAlignment="1">
      <alignment horizontal="center"/>
    </xf>
    <xf numFmtId="0" fontId="0" fillId="11" borderId="51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18" fillId="11" borderId="30" xfId="0" applyFont="1" applyFill="1" applyBorder="1" applyAlignment="1" applyProtection="1">
      <alignment horizontal="center" vertical="center"/>
      <protection locked="0"/>
    </xf>
    <xf numFmtId="3" fontId="0" fillId="11" borderId="100" xfId="0" applyNumberFormat="1" applyFill="1" applyBorder="1" applyAlignment="1">
      <alignment horizontal="center"/>
    </xf>
    <xf numFmtId="0" fontId="16" fillId="11" borderId="31" xfId="0" applyFont="1" applyFill="1" applyBorder="1" applyAlignment="1" applyProtection="1">
      <alignment horizontal="center"/>
      <protection locked="0"/>
    </xf>
    <xf numFmtId="0" fontId="16" fillId="11" borderId="28" xfId="0" applyFont="1" applyFill="1" applyBorder="1" applyAlignment="1" applyProtection="1">
      <alignment horizontal="center"/>
      <protection locked="0"/>
    </xf>
    <xf numFmtId="169" fontId="0" fillId="11" borderId="114" xfId="3" applyNumberFormat="1" applyFont="1" applyFill="1" applyBorder="1" applyAlignment="1">
      <alignment horizontal="center"/>
    </xf>
    <xf numFmtId="169" fontId="0" fillId="11" borderId="104" xfId="3" applyNumberFormat="1" applyFont="1" applyFill="1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99" xfId="0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5" borderId="9" xfId="0" applyNumberForma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21" fillId="0" borderId="0" xfId="1" applyFont="1" applyFill="1" applyBorder="1" applyAlignment="1">
      <alignment horizontal="left"/>
    </xf>
    <xf numFmtId="0" fontId="0" fillId="4" borderId="2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59" xfId="0" applyBorder="1" applyAlignment="1">
      <alignment horizontal="left"/>
    </xf>
    <xf numFmtId="0" fontId="21" fillId="0" borderId="59" xfId="1" applyFont="1" applyFill="1" applyBorder="1" applyAlignment="1">
      <alignment horizontal="left"/>
    </xf>
    <xf numFmtId="0" fontId="0" fillId="4" borderId="34" xfId="0" applyNumberFormat="1" applyFill="1" applyBorder="1" applyAlignment="1">
      <alignment horizontal="center" vertical="center" wrapText="1"/>
    </xf>
    <xf numFmtId="0" fontId="0" fillId="4" borderId="35" xfId="0" applyNumberFormat="1" applyFill="1" applyBorder="1" applyAlignment="1">
      <alignment horizontal="center" vertical="center" wrapText="1"/>
    </xf>
    <xf numFmtId="0" fontId="0" fillId="4" borderId="36" xfId="0" applyNumberFormat="1" applyFill="1" applyBorder="1" applyAlignment="1">
      <alignment horizontal="center" vertical="center" wrapText="1"/>
    </xf>
    <xf numFmtId="0" fontId="0" fillId="4" borderId="37" xfId="0" applyNumberFormat="1" applyFill="1" applyBorder="1" applyAlignment="1">
      <alignment horizontal="center" vertical="center" wrapText="1"/>
    </xf>
    <xf numFmtId="0" fontId="0" fillId="4" borderId="11" xfId="0" applyNumberFormat="1" applyFill="1" applyBorder="1" applyAlignment="1">
      <alignment horizontal="center" vertical="center" wrapText="1"/>
    </xf>
    <xf numFmtId="0" fontId="0" fillId="4" borderId="38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5" borderId="28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1" fillId="0" borderId="3" xfId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4" borderId="10" xfId="0" applyNumberFormat="1" applyFill="1" applyBorder="1" applyAlignment="1">
      <alignment horizontal="center" wrapText="1"/>
    </xf>
    <xf numFmtId="0" fontId="0" fillId="4" borderId="30" xfId="0" applyNumberFormat="1" applyFill="1" applyBorder="1" applyAlignment="1">
      <alignment horizontal="center" wrapText="1"/>
    </xf>
    <xf numFmtId="0" fontId="0" fillId="4" borderId="9" xfId="0" applyNumberFormat="1" applyFill="1" applyBorder="1" applyAlignment="1">
      <alignment horizontal="center" wrapText="1"/>
    </xf>
    <xf numFmtId="0" fontId="16" fillId="7" borderId="26" xfId="0" applyFont="1" applyFill="1" applyBorder="1" applyAlignment="1" applyProtection="1">
      <alignment horizontal="center"/>
      <protection locked="0"/>
    </xf>
    <xf numFmtId="0" fontId="16" fillId="7" borderId="6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>
      <alignment horizontal="center"/>
    </xf>
  </cellXfs>
  <cellStyles count="7">
    <cellStyle name="Currency" xfId="3" builtinId="4"/>
    <cellStyle name="Hyperlink" xfId="6" builtinId="8"/>
    <cellStyle name="Normal" xfId="0" builtinId="0"/>
    <cellStyle name="Normal_Dairy-Mass" xfId="4"/>
    <cellStyle name="Normal_Mixing-Volume or mass 3-16-05" xfId="2"/>
    <cellStyle name="Normal_WSS Sizing Calculator" xfId="1"/>
    <cellStyle name="Percent" xfId="5" builtinId="5"/>
  </cellStyles>
  <dxfs count="0"/>
  <tableStyles count="0" defaultTableStyle="TableStyleMedium2" defaultPivotStyle="PivotStyleLight16"/>
  <colors>
    <mruColors>
      <color rgb="FFFFCCCC"/>
      <color rgb="FF99FFCC"/>
      <color rgb="FFFFFFCC"/>
      <color rgb="FFFFCC99"/>
      <color rgb="FFCCFFCC"/>
      <color rgb="FFD5FFAB"/>
      <color rgb="FFCCFF99"/>
      <color rgb="FFE4FFC9"/>
      <color rgb="FFDCFFB9"/>
      <color rgb="FFD1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G"/><Relationship Id="rId1" Type="http://schemas.openxmlformats.org/officeDocument/2006/relationships/image" Target="../media/image5.JP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G"/><Relationship Id="rId1" Type="http://schemas.openxmlformats.org/officeDocument/2006/relationships/image" Target="../media/image5.JP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9</xdr:col>
      <xdr:colOff>320983</xdr:colOff>
      <xdr:row>5</xdr:row>
      <xdr:rowOff>57149</xdr:rowOff>
    </xdr:to>
    <xdr:pic>
      <xdr:nvPicPr>
        <xdr:cNvPr id="3" name="Picture 1071" descr="logo5US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38125"/>
          <a:ext cx="5550208" cy="771524"/>
        </a:xfrm>
        <a:prstGeom prst="rect">
          <a:avLst/>
        </a:prstGeom>
        <a:noFill/>
        <a:ln w="6350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9</xdr:row>
      <xdr:rowOff>123825</xdr:rowOff>
    </xdr:from>
    <xdr:to>
      <xdr:col>17</xdr:col>
      <xdr:colOff>76200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1447800" y="1933575"/>
          <a:ext cx="8991600" cy="20383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 deep bedded pack facility houses livestock for a confined feeding period in a covered facility on a pack of accumulated bedding and manure.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 pack is built on an initial base consisting of a thick layer of about 12 to 18 inches of wood chips.  The base will provide bed-pack porosity, aeration, absorption of liquids and prevent the leaching of wastewater.  The initial base of course wood chips will provide a stable pack foundation.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Additional bedding is added to the pack on a daily basis.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 bedded pack can become several feet thick before it is removed depending on the livestock confinement period, number of animals, type and size.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 required quantity of bedding calculated for the animal manure deposited during confinement, develops a moisture content of the pack (on a wet weight basis) of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 more than 63% moisture content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 planning recommendation  is to vary the types of bedding materials used over the confinement period.  Applying a varied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and size of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bedding material will develop a more stable bedded-pack for livestock footing and animal comfort. </a:t>
          </a:r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</xdr:row>
          <xdr:rowOff>95250</xdr:rowOff>
        </xdr:from>
        <xdr:to>
          <xdr:col>12</xdr:col>
          <xdr:colOff>371475</xdr:colOff>
          <xdr:row>4</xdr:row>
          <xdr:rowOff>171450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</xdr:row>
          <xdr:rowOff>28575</xdr:rowOff>
        </xdr:from>
        <xdr:to>
          <xdr:col>16</xdr:col>
          <xdr:colOff>352425</xdr:colOff>
          <xdr:row>6</xdr:row>
          <xdr:rowOff>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6</xdr:row>
          <xdr:rowOff>19050</xdr:rowOff>
        </xdr:from>
        <xdr:to>
          <xdr:col>12</xdr:col>
          <xdr:colOff>371475</xdr:colOff>
          <xdr:row>8</xdr:row>
          <xdr:rowOff>47625</xdr:rowOff>
        </xdr:to>
        <xdr:sp macro="" textlink="">
          <xdr:nvSpPr>
            <xdr:cNvPr id="1028" name="CommandButton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21</xdr:row>
      <xdr:rowOff>38100</xdr:rowOff>
    </xdr:from>
    <xdr:to>
      <xdr:col>0</xdr:col>
      <xdr:colOff>581025</xdr:colOff>
      <xdr:row>21</xdr:row>
      <xdr:rowOff>152400</xdr:rowOff>
    </xdr:to>
    <xdr:sp macro="" textlink="">
      <xdr:nvSpPr>
        <xdr:cNvPr id="2" name="Right Arrow 1"/>
        <xdr:cNvSpPr/>
      </xdr:nvSpPr>
      <xdr:spPr>
        <a:xfrm>
          <a:off x="400050" y="422910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400050</xdr:colOff>
      <xdr:row>22</xdr:row>
      <xdr:rowOff>38100</xdr:rowOff>
    </xdr:from>
    <xdr:to>
      <xdr:col>0</xdr:col>
      <xdr:colOff>581025</xdr:colOff>
      <xdr:row>22</xdr:row>
      <xdr:rowOff>152400</xdr:rowOff>
    </xdr:to>
    <xdr:sp macro="" textlink="">
      <xdr:nvSpPr>
        <xdr:cNvPr id="3" name="Right Arrow 2"/>
        <xdr:cNvSpPr/>
      </xdr:nvSpPr>
      <xdr:spPr>
        <a:xfrm>
          <a:off x="400050" y="441960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409575</xdr:colOff>
      <xdr:row>23</xdr:row>
      <xdr:rowOff>47625</xdr:rowOff>
    </xdr:from>
    <xdr:to>
      <xdr:col>0</xdr:col>
      <xdr:colOff>590550</xdr:colOff>
      <xdr:row>23</xdr:row>
      <xdr:rowOff>161925</xdr:rowOff>
    </xdr:to>
    <xdr:sp macro="" textlink="">
      <xdr:nvSpPr>
        <xdr:cNvPr id="4" name="Right Arrow 3"/>
        <xdr:cNvSpPr/>
      </xdr:nvSpPr>
      <xdr:spPr>
        <a:xfrm>
          <a:off x="409575" y="46196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409575</xdr:colOff>
      <xdr:row>24</xdr:row>
      <xdr:rowOff>47625</xdr:rowOff>
    </xdr:from>
    <xdr:to>
      <xdr:col>0</xdr:col>
      <xdr:colOff>590550</xdr:colOff>
      <xdr:row>24</xdr:row>
      <xdr:rowOff>161925</xdr:rowOff>
    </xdr:to>
    <xdr:sp macro="" textlink="">
      <xdr:nvSpPr>
        <xdr:cNvPr id="5" name="Right Arrow 4"/>
        <xdr:cNvSpPr/>
      </xdr:nvSpPr>
      <xdr:spPr>
        <a:xfrm>
          <a:off x="409575" y="48101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409575</xdr:colOff>
      <xdr:row>28</xdr:row>
      <xdr:rowOff>66675</xdr:rowOff>
    </xdr:from>
    <xdr:to>
      <xdr:col>0</xdr:col>
      <xdr:colOff>590550</xdr:colOff>
      <xdr:row>28</xdr:row>
      <xdr:rowOff>180975</xdr:rowOff>
    </xdr:to>
    <xdr:sp macro="" textlink="">
      <xdr:nvSpPr>
        <xdr:cNvPr id="6" name="Right Arrow 5"/>
        <xdr:cNvSpPr/>
      </xdr:nvSpPr>
      <xdr:spPr>
        <a:xfrm>
          <a:off x="409575" y="559117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419100</xdr:colOff>
      <xdr:row>29</xdr:row>
      <xdr:rowOff>57150</xdr:rowOff>
    </xdr:from>
    <xdr:to>
      <xdr:col>0</xdr:col>
      <xdr:colOff>600075</xdr:colOff>
      <xdr:row>29</xdr:row>
      <xdr:rowOff>171450</xdr:rowOff>
    </xdr:to>
    <xdr:sp macro="" textlink="">
      <xdr:nvSpPr>
        <xdr:cNvPr id="7" name="Right Arrow 6"/>
        <xdr:cNvSpPr/>
      </xdr:nvSpPr>
      <xdr:spPr>
        <a:xfrm>
          <a:off x="419100" y="577215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409575</xdr:colOff>
      <xdr:row>30</xdr:row>
      <xdr:rowOff>66675</xdr:rowOff>
    </xdr:from>
    <xdr:to>
      <xdr:col>0</xdr:col>
      <xdr:colOff>590550</xdr:colOff>
      <xdr:row>30</xdr:row>
      <xdr:rowOff>180975</xdr:rowOff>
    </xdr:to>
    <xdr:sp macro="" textlink="">
      <xdr:nvSpPr>
        <xdr:cNvPr id="8" name="Right Arrow 7"/>
        <xdr:cNvSpPr/>
      </xdr:nvSpPr>
      <xdr:spPr>
        <a:xfrm>
          <a:off x="409575" y="597217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400050</xdr:colOff>
      <xdr:row>32</xdr:row>
      <xdr:rowOff>38100</xdr:rowOff>
    </xdr:from>
    <xdr:to>
      <xdr:col>0</xdr:col>
      <xdr:colOff>581025</xdr:colOff>
      <xdr:row>32</xdr:row>
      <xdr:rowOff>152400</xdr:rowOff>
    </xdr:to>
    <xdr:sp macro="" textlink="">
      <xdr:nvSpPr>
        <xdr:cNvPr id="9" name="Right Arrow 8"/>
        <xdr:cNvSpPr/>
      </xdr:nvSpPr>
      <xdr:spPr>
        <a:xfrm>
          <a:off x="400050" y="632460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32</xdr:row>
      <xdr:rowOff>38100</xdr:rowOff>
    </xdr:from>
    <xdr:to>
      <xdr:col>8</xdr:col>
      <xdr:colOff>581025</xdr:colOff>
      <xdr:row>32</xdr:row>
      <xdr:rowOff>152400</xdr:rowOff>
    </xdr:to>
    <xdr:sp macro="" textlink="">
      <xdr:nvSpPr>
        <xdr:cNvPr id="4" name="Right Arrow 3"/>
        <xdr:cNvSpPr/>
      </xdr:nvSpPr>
      <xdr:spPr>
        <a:xfrm>
          <a:off x="400050" y="40862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400050</xdr:colOff>
      <xdr:row>33</xdr:row>
      <xdr:rowOff>38100</xdr:rowOff>
    </xdr:from>
    <xdr:to>
      <xdr:col>8</xdr:col>
      <xdr:colOff>581025</xdr:colOff>
      <xdr:row>33</xdr:row>
      <xdr:rowOff>152400</xdr:rowOff>
    </xdr:to>
    <xdr:sp macro="" textlink="">
      <xdr:nvSpPr>
        <xdr:cNvPr id="5" name="Right Arrow 4"/>
        <xdr:cNvSpPr/>
      </xdr:nvSpPr>
      <xdr:spPr>
        <a:xfrm>
          <a:off x="400050" y="42767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409575</xdr:colOff>
      <xdr:row>36</xdr:row>
      <xdr:rowOff>66675</xdr:rowOff>
    </xdr:from>
    <xdr:to>
      <xdr:col>8</xdr:col>
      <xdr:colOff>590550</xdr:colOff>
      <xdr:row>36</xdr:row>
      <xdr:rowOff>180975</xdr:rowOff>
    </xdr:to>
    <xdr:sp macro="" textlink="">
      <xdr:nvSpPr>
        <xdr:cNvPr id="6" name="Right Arrow 5"/>
        <xdr:cNvSpPr/>
      </xdr:nvSpPr>
      <xdr:spPr>
        <a:xfrm>
          <a:off x="409575" y="546735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419100</xdr:colOff>
      <xdr:row>37</xdr:row>
      <xdr:rowOff>57150</xdr:rowOff>
    </xdr:from>
    <xdr:to>
      <xdr:col>8</xdr:col>
      <xdr:colOff>600075</xdr:colOff>
      <xdr:row>37</xdr:row>
      <xdr:rowOff>171450</xdr:rowOff>
    </xdr:to>
    <xdr:sp macro="" textlink="">
      <xdr:nvSpPr>
        <xdr:cNvPr id="7" name="Right Arrow 6"/>
        <xdr:cNvSpPr/>
      </xdr:nvSpPr>
      <xdr:spPr>
        <a:xfrm>
          <a:off x="419100" y="56483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76199</xdr:rowOff>
    </xdr:from>
    <xdr:to>
      <xdr:col>7</xdr:col>
      <xdr:colOff>180975</xdr:colOff>
      <xdr:row>16</xdr:row>
      <xdr:rowOff>91882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47724"/>
          <a:ext cx="5543550" cy="2301683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190501</xdr:colOff>
      <xdr:row>12</xdr:row>
      <xdr:rowOff>38100</xdr:rowOff>
    </xdr:from>
    <xdr:to>
      <xdr:col>12</xdr:col>
      <xdr:colOff>142876</xdr:colOff>
      <xdr:row>22</xdr:row>
      <xdr:rowOff>60323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6" y="2333625"/>
          <a:ext cx="2305050" cy="1936748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76199</xdr:colOff>
      <xdr:row>54</xdr:row>
      <xdr:rowOff>76200</xdr:rowOff>
    </xdr:from>
    <xdr:to>
      <xdr:col>6</xdr:col>
      <xdr:colOff>361950</xdr:colOff>
      <xdr:row>56</xdr:row>
      <xdr:rowOff>142875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199" y="10629900"/>
          <a:ext cx="5172076" cy="4476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76200</xdr:colOff>
      <xdr:row>57</xdr:row>
      <xdr:rowOff>95250</xdr:rowOff>
    </xdr:from>
    <xdr:to>
      <xdr:col>6</xdr:col>
      <xdr:colOff>352425</xdr:colOff>
      <xdr:row>63</xdr:row>
      <xdr:rowOff>85725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11220450"/>
          <a:ext cx="5162550" cy="11334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104775</xdr:colOff>
      <xdr:row>5</xdr:row>
      <xdr:rowOff>57151</xdr:rowOff>
    </xdr:from>
    <xdr:to>
      <xdr:col>13</xdr:col>
      <xdr:colOff>504825</xdr:colOff>
      <xdr:row>11</xdr:row>
      <xdr:rowOff>94460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8485" b="6656"/>
        <a:stretch/>
      </xdr:blipFill>
      <xdr:spPr>
        <a:xfrm>
          <a:off x="6172200" y="1019176"/>
          <a:ext cx="4105275" cy="1180309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76199</xdr:rowOff>
    </xdr:from>
    <xdr:to>
      <xdr:col>7</xdr:col>
      <xdr:colOff>180975</xdr:colOff>
      <xdr:row>16</xdr:row>
      <xdr:rowOff>91882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47724"/>
          <a:ext cx="5543550" cy="2301683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323851</xdr:colOff>
      <xdr:row>12</xdr:row>
      <xdr:rowOff>57150</xdr:rowOff>
    </xdr:from>
    <xdr:to>
      <xdr:col>11</xdr:col>
      <xdr:colOff>209551</xdr:colOff>
      <xdr:row>22</xdr:row>
      <xdr:rowOff>79373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6" y="2352675"/>
          <a:ext cx="2305050" cy="1936748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76199</xdr:colOff>
      <xdr:row>54</xdr:row>
      <xdr:rowOff>76200</xdr:rowOff>
    </xdr:from>
    <xdr:to>
      <xdr:col>6</xdr:col>
      <xdr:colOff>361950</xdr:colOff>
      <xdr:row>56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199" y="10629900"/>
          <a:ext cx="5172076" cy="4476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76200</xdr:colOff>
      <xdr:row>57</xdr:row>
      <xdr:rowOff>95250</xdr:rowOff>
    </xdr:from>
    <xdr:to>
      <xdr:col>6</xdr:col>
      <xdr:colOff>352425</xdr:colOff>
      <xdr:row>63</xdr:row>
      <xdr:rowOff>85725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11220450"/>
          <a:ext cx="5162550" cy="11334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104775</xdr:colOff>
      <xdr:row>5</xdr:row>
      <xdr:rowOff>57151</xdr:rowOff>
    </xdr:from>
    <xdr:to>
      <xdr:col>13</xdr:col>
      <xdr:colOff>504825</xdr:colOff>
      <xdr:row>11</xdr:row>
      <xdr:rowOff>94460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8485" b="6656"/>
        <a:stretch/>
      </xdr:blipFill>
      <xdr:spPr>
        <a:xfrm>
          <a:off x="6172200" y="1019176"/>
          <a:ext cx="4105275" cy="1180309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11</xdr:col>
      <xdr:colOff>609599</xdr:colOff>
      <xdr:row>5</xdr:row>
      <xdr:rowOff>9524</xdr:rowOff>
    </xdr:to>
    <xdr:pic>
      <xdr:nvPicPr>
        <xdr:cNvPr id="3" name="Picture 1071" descr="logo5US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9050"/>
          <a:ext cx="6048374" cy="942974"/>
        </a:xfrm>
        <a:prstGeom prst="rect">
          <a:avLst/>
        </a:prstGeom>
        <a:noFill/>
        <a:ln w="6350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 editAs="absolute">
    <xdr:from>
      <xdr:col>2</xdr:col>
      <xdr:colOff>28575</xdr:colOff>
      <xdr:row>50</xdr:row>
      <xdr:rowOff>9525</xdr:rowOff>
    </xdr:from>
    <xdr:to>
      <xdr:col>13</xdr:col>
      <xdr:colOff>561975</xdr:colOff>
      <xdr:row>60</xdr:row>
      <xdr:rowOff>9525</xdr:rowOff>
    </xdr:to>
    <xdr:sp macro="" textlink="" fLocksText="0">
      <xdr:nvSpPr>
        <xdr:cNvPr id="4" name="TextBox 3" title="Planners Notes"/>
        <xdr:cNvSpPr txBox="1"/>
      </xdr:nvSpPr>
      <xdr:spPr>
        <a:xfrm>
          <a:off x="1247775" y="10125075"/>
          <a:ext cx="7858125" cy="1905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0</xdr:rowOff>
        </xdr:from>
        <xdr:to>
          <xdr:col>6</xdr:col>
          <xdr:colOff>361950</xdr:colOff>
          <xdr:row>8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1" u="none" strike="noStrike" baseline="0">
                  <a:solidFill>
                    <a:srgbClr val="800000"/>
                  </a:solidFill>
                  <a:latin typeface="Calibri"/>
                  <a:cs typeface="Calibri"/>
                </a:rPr>
                <a:t>Print File_Report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2</xdr:col>
      <xdr:colOff>381000</xdr:colOff>
      <xdr:row>104</xdr:row>
      <xdr:rowOff>80567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725029"/>
          <a:ext cx="3171265" cy="217606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3</xdr:col>
      <xdr:colOff>784411</xdr:colOff>
      <xdr:row>123</xdr:row>
      <xdr:rowOff>168869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392029"/>
          <a:ext cx="4247029" cy="379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ams.usda.gov/mnreports/am_gr310.txt" TargetMode="External"/><Relationship Id="rId1" Type="http://schemas.openxmlformats.org/officeDocument/2006/relationships/hyperlink" Target="https://extension.umd.edu/.../Copy%20of%20Revised%20Carbon%20to%20Nitrogen%20Ratio" TargetMode="External"/><Relationship Id="rId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U29"/>
  <sheetViews>
    <sheetView topLeftCell="A7" zoomScaleNormal="100" workbookViewId="0">
      <selection activeCell="L4" sqref="L4"/>
    </sheetView>
  </sheetViews>
  <sheetFormatPr defaultRowHeight="15" x14ac:dyDescent="0.25"/>
  <cols>
    <col min="1" max="16384" width="9.140625" style="39"/>
  </cols>
  <sheetData>
    <row r="1" spans="1:2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44"/>
      <c r="U1" s="44"/>
    </row>
    <row r="2" spans="1:2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4"/>
      <c r="U2" s="44"/>
    </row>
    <row r="3" spans="1:21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  <c r="T3" s="44"/>
      <c r="U3" s="44"/>
    </row>
    <row r="4" spans="1:2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44"/>
      <c r="U4" s="44"/>
    </row>
    <row r="5" spans="1:2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  <c r="T5" s="44"/>
      <c r="U5" s="44"/>
    </row>
    <row r="6" spans="1:2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  <c r="T6" s="44"/>
      <c r="U6" s="44"/>
    </row>
    <row r="7" spans="1:21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44"/>
      <c r="U7" s="44"/>
    </row>
    <row r="8" spans="1:21" ht="18.75" x14ac:dyDescent="0.3">
      <c r="A8" s="43"/>
      <c r="B8" s="49" t="s">
        <v>50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  <c r="T8" s="44"/>
      <c r="U8" s="44"/>
    </row>
    <row r="9" spans="1:21" ht="18.75" x14ac:dyDescent="0.3">
      <c r="A9" s="43"/>
      <c r="B9" s="49" t="s">
        <v>51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T9" s="44"/>
      <c r="U9" s="44"/>
    </row>
    <row r="10" spans="1:21" x14ac:dyDescent="0.25">
      <c r="A10" s="43"/>
      <c r="B10" s="44" t="s">
        <v>431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  <c r="T10" s="44"/>
      <c r="U10" s="44"/>
    </row>
    <row r="11" spans="1:21" x14ac:dyDescent="0.2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44"/>
      <c r="U11" s="44"/>
    </row>
    <row r="12" spans="1:21" x14ac:dyDescent="0.25">
      <c r="A12" s="43"/>
      <c r="B12" s="44" t="s">
        <v>242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4"/>
      <c r="U12" s="44"/>
    </row>
    <row r="13" spans="1:21" x14ac:dyDescent="0.2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4"/>
      <c r="U13" s="44"/>
    </row>
    <row r="14" spans="1:2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4"/>
      <c r="U14" s="44"/>
    </row>
    <row r="15" spans="1:2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4"/>
      <c r="U15" s="44"/>
    </row>
    <row r="16" spans="1:21" x14ac:dyDescent="0.2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4"/>
      <c r="U16" s="44"/>
    </row>
    <row r="17" spans="1:21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4"/>
      <c r="U17" s="44"/>
    </row>
    <row r="18" spans="1:21" x14ac:dyDescent="0.2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4"/>
      <c r="U18" s="44"/>
    </row>
    <row r="19" spans="1:21" x14ac:dyDescent="0.2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  <c r="T19" s="44"/>
      <c r="U19" s="44"/>
    </row>
    <row r="20" spans="1:21" x14ac:dyDescent="0.25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44"/>
      <c r="U20" s="44"/>
    </row>
    <row r="21" spans="1:2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4"/>
      <c r="U21" s="44"/>
    </row>
    <row r="22" spans="1:21" ht="18.75" x14ac:dyDescent="0.3">
      <c r="A22" s="43"/>
      <c r="C22" s="49" t="s">
        <v>239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4"/>
      <c r="U22" s="44"/>
    </row>
    <row r="23" spans="1:21" ht="18.75" x14ac:dyDescent="0.3">
      <c r="A23" s="43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  <c r="T23" s="44"/>
      <c r="U23" s="44"/>
    </row>
    <row r="24" spans="1:21" ht="18.75" x14ac:dyDescent="0.3">
      <c r="A24" s="43"/>
      <c r="B24" s="44"/>
      <c r="C24" s="49" t="s">
        <v>256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44"/>
      <c r="U24" s="44"/>
    </row>
    <row r="25" spans="1:21" x14ac:dyDescent="0.25">
      <c r="A25" s="43"/>
      <c r="B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44"/>
      <c r="U25" s="44"/>
    </row>
    <row r="26" spans="1:21" ht="18.75" x14ac:dyDescent="0.3">
      <c r="A26" s="43"/>
      <c r="B26" s="168" t="s">
        <v>241</v>
      </c>
      <c r="C26" s="49" t="s">
        <v>240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  <c r="T26" s="44"/>
      <c r="U26" s="44"/>
    </row>
    <row r="27" spans="1:2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  <c r="T27" s="44"/>
      <c r="U27" s="44"/>
    </row>
    <row r="28" spans="1:21" x14ac:dyDescent="0.25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  <c r="T28" s="44"/>
      <c r="U28" s="44"/>
    </row>
    <row r="29" spans="1:21" ht="15.75" thickBot="1" x14ac:dyDescent="0.3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  <c r="T29" s="44"/>
      <c r="U29" s="44"/>
    </row>
  </sheetData>
  <sheetProtection sheet="1" objects="1" scenarios="1"/>
  <pageMargins left="0.25" right="0.25" top="0.75" bottom="0.75" header="0.3" footer="0.3"/>
  <pageSetup scale="69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CommandButton2">
          <controlPr defaultSize="0" autoLine="0" r:id="rId5">
            <anchor moveWithCells="1">
              <from>
                <xdr:col>14</xdr:col>
                <xdr:colOff>171450</xdr:colOff>
                <xdr:row>3</xdr:row>
                <xdr:rowOff>28575</xdr:rowOff>
              </from>
              <to>
                <xdr:col>16</xdr:col>
                <xdr:colOff>352425</xdr:colOff>
                <xdr:row>6</xdr:row>
                <xdr:rowOff>0</xdr:rowOff>
              </to>
            </anchor>
          </controlPr>
        </control>
      </mc:Choice>
      <mc:Fallback>
        <control shapeId="1026" r:id="rId4" name="CommandButton2"/>
      </mc:Fallback>
    </mc:AlternateContent>
    <mc:AlternateContent xmlns:mc="http://schemas.openxmlformats.org/markup-compatibility/2006">
      <mc:Choice Requires="x14">
        <control shapeId="1025" r:id="rId6" name="CommandButton1">
          <controlPr defaultSize="0" autoLine="0" r:id="rId7">
            <anchor moveWithCells="1">
              <from>
                <xdr:col>10</xdr:col>
                <xdr:colOff>447675</xdr:colOff>
                <xdr:row>2</xdr:row>
                <xdr:rowOff>95250</xdr:rowOff>
              </from>
              <to>
                <xdr:col>12</xdr:col>
                <xdr:colOff>371475</xdr:colOff>
                <xdr:row>4</xdr:row>
                <xdr:rowOff>171450</xdr:rowOff>
              </to>
            </anchor>
          </controlPr>
        </control>
      </mc:Choice>
      <mc:Fallback>
        <control shapeId="1025" r:id="rId6" name="CommandButton1"/>
      </mc:Fallback>
    </mc:AlternateContent>
    <mc:AlternateContent xmlns:mc="http://schemas.openxmlformats.org/markup-compatibility/2006">
      <mc:Choice Requires="x14">
        <control shapeId="1028" r:id="rId8" name="CommandButton3">
          <controlPr defaultSize="0" autoLine="0" r:id="rId9">
            <anchor moveWithCells="1">
              <from>
                <xdr:col>10</xdr:col>
                <xdr:colOff>447675</xdr:colOff>
                <xdr:row>6</xdr:row>
                <xdr:rowOff>19050</xdr:rowOff>
              </from>
              <to>
                <xdr:col>12</xdr:col>
                <xdr:colOff>371475</xdr:colOff>
                <xdr:row>8</xdr:row>
                <xdr:rowOff>47625</xdr:rowOff>
              </to>
            </anchor>
          </controlPr>
        </control>
      </mc:Choice>
      <mc:Fallback>
        <control shapeId="1028" r:id="rId8" name="Command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Q42"/>
  <sheetViews>
    <sheetView workbookViewId="0">
      <selection sqref="A1:G1"/>
    </sheetView>
  </sheetViews>
  <sheetFormatPr defaultRowHeight="15" x14ac:dyDescent="0.25"/>
  <sheetData>
    <row r="1" spans="1:17" x14ac:dyDescent="0.25">
      <c r="A1" s="360" t="s">
        <v>488</v>
      </c>
      <c r="B1" s="360"/>
      <c r="C1" s="360"/>
      <c r="D1" s="360"/>
      <c r="E1" s="360"/>
      <c r="F1" s="360"/>
      <c r="G1" s="360"/>
      <c r="I1" s="362" t="s">
        <v>404</v>
      </c>
      <c r="J1" s="363"/>
      <c r="K1" s="363"/>
      <c r="L1" s="363"/>
      <c r="M1" s="363"/>
      <c r="N1" s="363"/>
      <c r="O1" s="363"/>
      <c r="P1" s="363"/>
      <c r="Q1" s="364"/>
    </row>
    <row r="2" spans="1:17" x14ac:dyDescent="0.25">
      <c r="A2" s="360" t="s">
        <v>423</v>
      </c>
      <c r="B2" s="360"/>
      <c r="C2" s="360"/>
      <c r="D2" s="360"/>
      <c r="E2" s="360"/>
      <c r="F2" s="360"/>
      <c r="G2" s="360"/>
      <c r="I2" s="365" t="s">
        <v>405</v>
      </c>
      <c r="J2" s="366"/>
      <c r="K2" s="366"/>
      <c r="L2" s="366"/>
      <c r="M2" s="366"/>
      <c r="N2" s="366"/>
      <c r="O2" s="366"/>
      <c r="P2" s="366"/>
      <c r="Q2" s="367"/>
    </row>
    <row r="3" spans="1:17" x14ac:dyDescent="0.25">
      <c r="A3" s="361" t="s">
        <v>201</v>
      </c>
      <c r="B3" s="361"/>
      <c r="C3" s="361"/>
      <c r="D3" s="361"/>
      <c r="E3" s="361"/>
      <c r="F3" s="361"/>
      <c r="G3" s="361"/>
      <c r="I3" s="354" t="s">
        <v>252</v>
      </c>
      <c r="J3" s="355"/>
      <c r="K3" s="355"/>
      <c r="L3" s="355"/>
      <c r="M3" s="355"/>
      <c r="N3" s="355"/>
      <c r="O3" s="355"/>
      <c r="P3" s="355"/>
      <c r="Q3" s="356"/>
    </row>
    <row r="4" spans="1:17" ht="16.5" thickBot="1" x14ac:dyDescent="0.3">
      <c r="A4" s="78" t="s">
        <v>243</v>
      </c>
      <c r="I4" s="357" t="s">
        <v>226</v>
      </c>
      <c r="J4" s="358"/>
      <c r="K4" s="358"/>
      <c r="L4" s="358"/>
      <c r="M4" s="358"/>
      <c r="N4" s="358"/>
      <c r="O4" s="358"/>
      <c r="P4" s="358"/>
      <c r="Q4" s="359"/>
    </row>
    <row r="5" spans="1:17" x14ac:dyDescent="0.25">
      <c r="B5" s="26" t="s">
        <v>203</v>
      </c>
      <c r="C5" s="26"/>
      <c r="D5" s="26"/>
      <c r="E5" s="26"/>
      <c r="F5" s="26"/>
    </row>
    <row r="6" spans="1:17" x14ac:dyDescent="0.25">
      <c r="B6" s="166" t="s">
        <v>202</v>
      </c>
      <c r="C6" s="26"/>
      <c r="D6" s="26"/>
      <c r="E6" s="26"/>
      <c r="F6" s="26"/>
    </row>
    <row r="7" spans="1:17" x14ac:dyDescent="0.25">
      <c r="B7" s="26" t="s">
        <v>204</v>
      </c>
      <c r="C7" s="26"/>
      <c r="D7" s="26"/>
      <c r="E7" s="26"/>
      <c r="F7" s="26"/>
    </row>
    <row r="8" spans="1:17" x14ac:dyDescent="0.25">
      <c r="B8" s="166" t="s">
        <v>205</v>
      </c>
      <c r="C8" s="26"/>
      <c r="D8" s="26"/>
      <c r="E8" s="26"/>
      <c r="F8" s="26"/>
    </row>
    <row r="9" spans="1:17" ht="15.75" x14ac:dyDescent="0.25">
      <c r="A9" s="78" t="s">
        <v>242</v>
      </c>
      <c r="J9" s="26" t="s">
        <v>227</v>
      </c>
      <c r="L9" t="s">
        <v>228</v>
      </c>
    </row>
    <row r="10" spans="1:17" x14ac:dyDescent="0.25">
      <c r="A10" s="26" t="s">
        <v>151</v>
      </c>
      <c r="J10" s="26"/>
      <c r="L10" t="s">
        <v>244</v>
      </c>
    </row>
    <row r="11" spans="1:17" x14ac:dyDescent="0.25">
      <c r="B11" t="s">
        <v>206</v>
      </c>
      <c r="L11" t="s">
        <v>116</v>
      </c>
    </row>
    <row r="12" spans="1:17" x14ac:dyDescent="0.25">
      <c r="B12" s="165" t="s">
        <v>208</v>
      </c>
      <c r="L12" t="s">
        <v>229</v>
      </c>
    </row>
    <row r="13" spans="1:17" x14ac:dyDescent="0.25">
      <c r="B13" t="s">
        <v>207</v>
      </c>
      <c r="L13" t="s">
        <v>231</v>
      </c>
    </row>
    <row r="14" spans="1:17" x14ac:dyDescent="0.25">
      <c r="B14" s="165" t="s">
        <v>219</v>
      </c>
      <c r="L14" t="s">
        <v>230</v>
      </c>
    </row>
    <row r="15" spans="1:17" x14ac:dyDescent="0.25">
      <c r="B15" s="165" t="s">
        <v>209</v>
      </c>
      <c r="L15" t="s">
        <v>232</v>
      </c>
    </row>
    <row r="16" spans="1:17" x14ac:dyDescent="0.25">
      <c r="B16" t="s">
        <v>221</v>
      </c>
      <c r="L16" t="s">
        <v>233</v>
      </c>
    </row>
    <row r="17" spans="1:16" x14ac:dyDescent="0.25">
      <c r="B17" s="165" t="s">
        <v>220</v>
      </c>
      <c r="L17" t="s">
        <v>234</v>
      </c>
    </row>
    <row r="18" spans="1:16" x14ac:dyDescent="0.25">
      <c r="B18" t="s">
        <v>331</v>
      </c>
      <c r="L18" t="s">
        <v>235</v>
      </c>
    </row>
    <row r="19" spans="1:16" ht="15.75" thickBot="1" x14ac:dyDescent="0.3">
      <c r="B19" t="s">
        <v>211</v>
      </c>
    </row>
    <row r="20" spans="1:16" ht="15.75" thickTop="1" x14ac:dyDescent="0.25">
      <c r="J20" s="126" t="s">
        <v>236</v>
      </c>
      <c r="K20" s="156" t="s">
        <v>188</v>
      </c>
      <c r="L20" s="62"/>
      <c r="M20" s="151"/>
      <c r="N20" s="63"/>
    </row>
    <row r="21" spans="1:16" x14ac:dyDescent="0.25">
      <c r="A21" s="174" t="s">
        <v>247</v>
      </c>
      <c r="B21" s="175"/>
      <c r="C21" s="175"/>
      <c r="D21" s="175"/>
      <c r="K21" s="155"/>
      <c r="L21" s="153" t="s">
        <v>67</v>
      </c>
      <c r="M21" s="6"/>
      <c r="N21" s="67"/>
    </row>
    <row r="22" spans="1:16" x14ac:dyDescent="0.25">
      <c r="B22" s="149" t="s">
        <v>212</v>
      </c>
      <c r="K22" s="152"/>
      <c r="L22" s="153" t="s">
        <v>187</v>
      </c>
      <c r="M22" s="134"/>
      <c r="N22" s="67"/>
    </row>
    <row r="23" spans="1:16" ht="15.75" thickBot="1" x14ac:dyDescent="0.3">
      <c r="A23" s="52"/>
      <c r="B23" s="149" t="s">
        <v>218</v>
      </c>
      <c r="K23" s="154"/>
      <c r="L23" s="72" t="s">
        <v>237</v>
      </c>
      <c r="M23" s="72"/>
      <c r="N23" s="73"/>
    </row>
    <row r="24" spans="1:16" ht="15.75" thickTop="1" x14ac:dyDescent="0.25">
      <c r="B24" s="149" t="s">
        <v>213</v>
      </c>
      <c r="J24" s="126" t="s">
        <v>238</v>
      </c>
      <c r="K24" s="76"/>
      <c r="L24" s="74"/>
      <c r="M24" s="75"/>
    </row>
    <row r="25" spans="1:16" x14ac:dyDescent="0.25">
      <c r="B25" s="75" t="s">
        <v>214</v>
      </c>
      <c r="K25" s="205"/>
      <c r="L25" s="74" t="s">
        <v>332</v>
      </c>
    </row>
    <row r="26" spans="1:16" x14ac:dyDescent="0.25">
      <c r="K26" s="77"/>
      <c r="L26" s="74" t="s">
        <v>333</v>
      </c>
      <c r="M26" s="75"/>
    </row>
    <row r="27" spans="1:16" x14ac:dyDescent="0.25">
      <c r="K27" s="167" t="s">
        <v>334</v>
      </c>
    </row>
    <row r="28" spans="1:16" x14ac:dyDescent="0.25">
      <c r="A28" s="174" t="s">
        <v>359</v>
      </c>
      <c r="B28" s="175"/>
      <c r="C28" s="175"/>
      <c r="D28" s="175"/>
      <c r="E28" s="175"/>
      <c r="K28" s="169"/>
      <c r="L28" s="74" t="s">
        <v>335</v>
      </c>
    </row>
    <row r="29" spans="1:16" x14ac:dyDescent="0.25">
      <c r="A29" s="26"/>
      <c r="B29" s="149" t="s">
        <v>215</v>
      </c>
      <c r="K29" s="167"/>
    </row>
    <row r="30" spans="1:16" x14ac:dyDescent="0.25">
      <c r="B30" s="149" t="s">
        <v>216</v>
      </c>
    </row>
    <row r="31" spans="1:16" x14ac:dyDescent="0.25">
      <c r="B31" s="149" t="s">
        <v>217</v>
      </c>
    </row>
    <row r="32" spans="1:16" x14ac:dyDescent="0.25">
      <c r="B32" s="166" t="s">
        <v>210</v>
      </c>
      <c r="J32" s="177"/>
      <c r="K32" s="177"/>
      <c r="L32" s="177"/>
      <c r="M32" s="177"/>
      <c r="N32" s="177"/>
      <c r="O32" s="177"/>
      <c r="P32" s="177"/>
    </row>
    <row r="33" spans="1:16" x14ac:dyDescent="0.25">
      <c r="B33" t="s">
        <v>214</v>
      </c>
      <c r="J33" s="177"/>
      <c r="K33" s="177"/>
      <c r="L33" s="177"/>
      <c r="M33" s="177"/>
      <c r="N33" s="177"/>
      <c r="O33" s="177"/>
      <c r="P33" s="177"/>
    </row>
    <row r="35" spans="1:16" x14ac:dyDescent="0.25">
      <c r="A35" t="s">
        <v>222</v>
      </c>
      <c r="I35" s="177" t="s">
        <v>225</v>
      </c>
    </row>
    <row r="36" spans="1:16" x14ac:dyDescent="0.25">
      <c r="A36" t="s">
        <v>223</v>
      </c>
      <c r="I36" s="177" t="s">
        <v>246</v>
      </c>
    </row>
    <row r="37" spans="1:16" x14ac:dyDescent="0.25">
      <c r="A37" t="s">
        <v>224</v>
      </c>
    </row>
    <row r="38" spans="1:16" x14ac:dyDescent="0.25">
      <c r="A38" s="241" t="s">
        <v>362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6"/>
    </row>
    <row r="39" spans="1:16" x14ac:dyDescent="0.25">
      <c r="A39" s="187" t="s">
        <v>424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188"/>
    </row>
    <row r="40" spans="1:16" x14ac:dyDescent="0.25">
      <c r="A40" s="187" t="s">
        <v>426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88"/>
    </row>
    <row r="41" spans="1:16" x14ac:dyDescent="0.25">
      <c r="A41" s="187"/>
      <c r="B41" s="305" t="s">
        <v>427</v>
      </c>
      <c r="C41" s="305"/>
      <c r="D41" s="305"/>
      <c r="E41" s="305"/>
      <c r="F41" s="305"/>
      <c r="G41" s="305"/>
      <c r="H41" s="305"/>
      <c r="I41" s="305"/>
      <c r="J41" s="6"/>
      <c r="K41" s="6"/>
      <c r="L41" s="6"/>
      <c r="M41" s="188"/>
    </row>
    <row r="42" spans="1:16" x14ac:dyDescent="0.25">
      <c r="A42" s="189"/>
      <c r="B42" s="306" t="s">
        <v>428</v>
      </c>
      <c r="C42" s="306"/>
      <c r="D42" s="306"/>
      <c r="E42" s="306"/>
      <c r="F42" s="306"/>
      <c r="G42" s="306"/>
      <c r="H42" s="306"/>
      <c r="I42" s="306"/>
      <c r="J42" s="175"/>
      <c r="K42" s="175"/>
      <c r="L42" s="175"/>
      <c r="M42" s="190"/>
    </row>
  </sheetData>
  <sheetProtection sheet="1" objects="1" scenarios="1"/>
  <mergeCells count="7">
    <mergeCell ref="I3:Q3"/>
    <mergeCell ref="I4:Q4"/>
    <mergeCell ref="A1:G1"/>
    <mergeCell ref="A2:G2"/>
    <mergeCell ref="A3:G3"/>
    <mergeCell ref="I1:Q1"/>
    <mergeCell ref="I2:Q2"/>
  </mergeCells>
  <pageMargins left="0.25" right="0.25" top="0.75" bottom="0.75" header="0.3" footer="0.3"/>
  <pageSetup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39"/>
  <sheetViews>
    <sheetView showZeros="0" topLeftCell="A46" workbookViewId="0">
      <selection activeCell="G33" sqref="G33"/>
    </sheetView>
  </sheetViews>
  <sheetFormatPr defaultRowHeight="15" x14ac:dyDescent="0.25"/>
  <cols>
    <col min="1" max="2" width="11.7109375" customWidth="1"/>
    <col min="7" max="8" width="11.42578125" customWidth="1"/>
  </cols>
  <sheetData>
    <row r="1" spans="1:19" ht="15.75" thickBot="1" x14ac:dyDescent="0.3">
      <c r="A1" s="26" t="s">
        <v>54</v>
      </c>
      <c r="H1" s="26" t="s">
        <v>56</v>
      </c>
    </row>
    <row r="2" spans="1:19" ht="15.75" thickTop="1" x14ac:dyDescent="0.25">
      <c r="B2" s="52" t="s">
        <v>53</v>
      </c>
      <c r="C2" s="407" t="s">
        <v>504</v>
      </c>
      <c r="D2" s="407"/>
      <c r="E2" s="407"/>
      <c r="F2" s="407"/>
      <c r="G2" s="50"/>
      <c r="H2" s="58" t="s">
        <v>55</v>
      </c>
      <c r="I2" s="51" t="s">
        <v>503</v>
      </c>
      <c r="O2" s="126" t="s">
        <v>236</v>
      </c>
      <c r="P2" s="156" t="s">
        <v>188</v>
      </c>
      <c r="Q2" s="62"/>
      <c r="R2" s="151"/>
      <c r="S2" s="63"/>
    </row>
    <row r="3" spans="1:19" x14ac:dyDescent="0.25">
      <c r="B3" s="52" t="s">
        <v>58</v>
      </c>
      <c r="C3" s="406" t="s">
        <v>505</v>
      </c>
      <c r="D3" s="406"/>
      <c r="E3" s="406"/>
      <c r="F3" s="406"/>
      <c r="H3" s="50"/>
      <c r="I3" s="53"/>
      <c r="P3" s="155"/>
      <c r="Q3" s="153" t="s">
        <v>67</v>
      </c>
      <c r="R3" s="6"/>
      <c r="S3" s="67"/>
    </row>
    <row r="4" spans="1:19" x14ac:dyDescent="0.25">
      <c r="B4" s="52" t="s">
        <v>52</v>
      </c>
      <c r="C4" s="406"/>
      <c r="D4" s="406"/>
      <c r="E4" s="406"/>
      <c r="F4" s="406"/>
      <c r="H4" s="58" t="s">
        <v>57</v>
      </c>
      <c r="I4" s="54">
        <v>42775</v>
      </c>
      <c r="P4" s="152"/>
      <c r="Q4" s="153" t="s">
        <v>187</v>
      </c>
      <c r="R4" s="134"/>
      <c r="S4" s="67"/>
    </row>
    <row r="5" spans="1:19" ht="15.75" thickBot="1" x14ac:dyDescent="0.3">
      <c r="P5" s="154"/>
      <c r="Q5" s="72" t="s">
        <v>237</v>
      </c>
      <c r="R5" s="72"/>
      <c r="S5" s="73"/>
    </row>
    <row r="6" spans="1:19" ht="15.75" thickTop="1" x14ac:dyDescent="0.25">
      <c r="F6" s="55"/>
      <c r="G6" s="56"/>
      <c r="H6" s="57"/>
      <c r="O6" s="126" t="s">
        <v>238</v>
      </c>
      <c r="P6" s="76"/>
      <c r="Q6" s="74"/>
      <c r="R6" s="75"/>
    </row>
    <row r="7" spans="1:19" ht="15.75" thickBot="1" x14ac:dyDescent="0.3">
      <c r="A7" s="26" t="s">
        <v>62</v>
      </c>
      <c r="P7" s="205"/>
      <c r="Q7" s="74" t="s">
        <v>332</v>
      </c>
    </row>
    <row r="8" spans="1:19" ht="16.5" thickTop="1" x14ac:dyDescent="0.25">
      <c r="B8" s="59" t="s">
        <v>63</v>
      </c>
      <c r="C8" s="60"/>
      <c r="D8" s="60"/>
      <c r="E8" s="61"/>
      <c r="F8" s="62"/>
      <c r="G8" s="63"/>
      <c r="I8" s="286"/>
      <c r="J8" t="s">
        <v>59</v>
      </c>
      <c r="L8" s="169">
        <f>+I8/I9</f>
        <v>0</v>
      </c>
      <c r="M8" t="s">
        <v>60</v>
      </c>
      <c r="P8" s="77"/>
      <c r="Q8" s="74" t="s">
        <v>333</v>
      </c>
      <c r="R8" s="75"/>
    </row>
    <row r="9" spans="1:19" ht="15.75" x14ac:dyDescent="0.25">
      <c r="B9" s="64" t="s">
        <v>64</v>
      </c>
      <c r="C9" s="65"/>
      <c r="D9" s="65"/>
      <c r="E9" s="66"/>
      <c r="F9" s="6"/>
      <c r="G9" s="67"/>
      <c r="I9">
        <v>305</v>
      </c>
      <c r="J9" t="s">
        <v>61</v>
      </c>
      <c r="P9" s="167" t="s">
        <v>334</v>
      </c>
    </row>
    <row r="10" spans="1:19" ht="15.75" x14ac:dyDescent="0.25">
      <c r="B10" s="68" t="s">
        <v>65</v>
      </c>
      <c r="C10" s="6"/>
      <c r="D10" s="6"/>
      <c r="E10" s="66"/>
      <c r="F10" s="6"/>
      <c r="G10" s="67"/>
      <c r="P10" s="169"/>
      <c r="Q10" s="74" t="s">
        <v>335</v>
      </c>
    </row>
    <row r="11" spans="1:19" ht="16.5" thickBot="1" x14ac:dyDescent="0.3">
      <c r="B11" s="69" t="s">
        <v>66</v>
      </c>
      <c r="C11" s="70"/>
      <c r="D11" s="70"/>
      <c r="E11" s="71"/>
      <c r="F11" s="72"/>
      <c r="G11" s="73"/>
      <c r="P11" s="167"/>
    </row>
    <row r="12" spans="1:19" ht="15.75" thickTop="1" x14ac:dyDescent="0.25"/>
    <row r="14" spans="1:19" ht="15.75" x14ac:dyDescent="0.25">
      <c r="A14" s="78" t="s">
        <v>68</v>
      </c>
      <c r="P14" t="s">
        <v>129</v>
      </c>
    </row>
    <row r="15" spans="1:19" ht="15.75" thickBot="1" x14ac:dyDescent="0.3">
      <c r="P15">
        <v>24</v>
      </c>
    </row>
    <row r="16" spans="1:19" ht="15.75" customHeight="1" thickBot="1" x14ac:dyDescent="0.3">
      <c r="G16" s="346" t="s">
        <v>489</v>
      </c>
      <c r="H16" s="404" t="s">
        <v>69</v>
      </c>
      <c r="K16" s="362" t="s">
        <v>70</v>
      </c>
      <c r="L16" s="363"/>
      <c r="M16" s="364"/>
      <c r="P16">
        <v>22</v>
      </c>
    </row>
    <row r="17" spans="1:16" ht="15.75" thickBot="1" x14ac:dyDescent="0.3">
      <c r="A17" s="372" t="s">
        <v>5</v>
      </c>
      <c r="B17" s="373"/>
      <c r="C17" s="372" t="s">
        <v>6</v>
      </c>
      <c r="D17" s="385"/>
      <c r="E17" s="385"/>
      <c r="F17" s="385"/>
      <c r="G17" s="176" t="s">
        <v>245</v>
      </c>
      <c r="H17" s="405"/>
      <c r="I17" s="385" t="s">
        <v>71</v>
      </c>
      <c r="J17" s="385"/>
      <c r="K17" s="357" t="s">
        <v>72</v>
      </c>
      <c r="L17" s="358"/>
      <c r="M17" s="359"/>
      <c r="P17">
        <v>20</v>
      </c>
    </row>
    <row r="18" spans="1:16" x14ac:dyDescent="0.25">
      <c r="A18" s="409" t="s">
        <v>28</v>
      </c>
      <c r="B18" s="410"/>
      <c r="C18" s="386" t="s">
        <v>29</v>
      </c>
      <c r="D18" s="387"/>
      <c r="E18" s="387"/>
      <c r="F18" s="388"/>
      <c r="G18" s="285">
        <v>80</v>
      </c>
      <c r="H18" s="120">
        <v>25</v>
      </c>
      <c r="I18" s="397">
        <f>G18*H18</f>
        <v>2000</v>
      </c>
      <c r="J18" s="398"/>
      <c r="K18" s="399">
        <f>I18/1000</f>
        <v>2</v>
      </c>
      <c r="L18" s="400"/>
      <c r="M18" s="401"/>
      <c r="P18">
        <v>18</v>
      </c>
    </row>
    <row r="19" spans="1:16" x14ac:dyDescent="0.25">
      <c r="A19" s="374" t="s">
        <v>24</v>
      </c>
      <c r="B19" s="408"/>
      <c r="C19" s="389" t="s">
        <v>26</v>
      </c>
      <c r="D19" s="390"/>
      <c r="E19" s="390"/>
      <c r="F19" s="391"/>
      <c r="G19" s="285">
        <f t="array" ref="G19">IF(ISNA(INDEX(RefTable!$E$9:$E$43,MATCH(1,(RefTable!$C$9:$C$43=Inventory!A19)*(RefTable!$D$9:$D$43=Inventory!C19),0))),"0",INDEX(RefTable!$E$9:$E$43,MATCH(1,(RefTable!$C$9:$C$43=Inventory!A19)*(RefTable!$D$9:$D$43=Inventory!C19),0)))</f>
        <v>150</v>
      </c>
      <c r="H19" s="121">
        <v>50</v>
      </c>
      <c r="I19" s="392">
        <f t="shared" ref="I19:I23" si="0">G19*H19</f>
        <v>7500</v>
      </c>
      <c r="J19" s="393"/>
      <c r="K19" s="394">
        <f t="shared" ref="K19:K23" si="1">I19/1000</f>
        <v>7.5</v>
      </c>
      <c r="L19" s="395"/>
      <c r="M19" s="396"/>
      <c r="P19">
        <v>16</v>
      </c>
    </row>
    <row r="20" spans="1:16" x14ac:dyDescent="0.25">
      <c r="A20" s="411"/>
      <c r="B20" s="412"/>
      <c r="C20" s="389"/>
      <c r="D20" s="390"/>
      <c r="E20" s="390"/>
      <c r="F20" s="391"/>
      <c r="G20" s="285" t="str">
        <f t="array" ref="G20">IF(ISNA(INDEX(RefTable!$E$9:$E$43,MATCH(1,(RefTable!$C$9:$C$43=Inventory!A20)*(RefTable!$D$9:$D$43=Inventory!C20),0))),"0",INDEX(RefTable!$E$9:$E$43,MATCH(1,(RefTable!$C$9:$C$43=Inventory!A20)*(RefTable!$D$9:$D$43=Inventory!C20),0)))</f>
        <v>0</v>
      </c>
      <c r="H20" s="121"/>
      <c r="I20" s="392">
        <f t="shared" si="0"/>
        <v>0</v>
      </c>
      <c r="J20" s="393"/>
      <c r="K20" s="394">
        <f t="shared" si="1"/>
        <v>0</v>
      </c>
      <c r="L20" s="395"/>
      <c r="M20" s="396"/>
      <c r="P20">
        <v>14</v>
      </c>
    </row>
    <row r="21" spans="1:16" x14ac:dyDescent="0.25">
      <c r="A21" s="374"/>
      <c r="B21" s="408"/>
      <c r="C21" s="389"/>
      <c r="D21" s="390"/>
      <c r="E21" s="390"/>
      <c r="F21" s="391"/>
      <c r="G21" s="285" t="str">
        <f t="array" ref="G21">IF(ISNA(INDEX(RefTable!$E$9:$E$43,MATCH(1,(RefTable!$C$9:$C$43=Inventory!A21)*(RefTable!$D$9:$D$43=Inventory!C21),0))),"0",INDEX(RefTable!$E$9:$E$43,MATCH(1,(RefTable!$C$9:$C$43=Inventory!A21)*(RefTable!$D$9:$D$43=Inventory!C21),0)))</f>
        <v>0</v>
      </c>
      <c r="H21" s="121"/>
      <c r="I21" s="392">
        <f t="shared" si="0"/>
        <v>0</v>
      </c>
      <c r="J21" s="393"/>
      <c r="K21" s="394">
        <f t="shared" si="1"/>
        <v>0</v>
      </c>
      <c r="L21" s="395"/>
      <c r="M21" s="396"/>
      <c r="P21">
        <v>12</v>
      </c>
    </row>
    <row r="22" spans="1:16" x14ac:dyDescent="0.25">
      <c r="A22" s="374"/>
      <c r="B22" s="408"/>
      <c r="C22" s="389"/>
      <c r="D22" s="390"/>
      <c r="E22" s="390"/>
      <c r="F22" s="391"/>
      <c r="G22" s="285" t="str">
        <f t="array" ref="G22">IF(ISNA(INDEX(RefTable!$E$9:$E$43,MATCH(1,(RefTable!$C$9:$C$43=Inventory!A22)*(RefTable!$D$9:$D$43=Inventory!C22),0))),"0",INDEX(RefTable!$E$9:$E$43,MATCH(1,(RefTable!$C$9:$C$43=Inventory!A22)*(RefTable!$D$9:$D$43=Inventory!C22),0)))</f>
        <v>0</v>
      </c>
      <c r="H22" s="121"/>
      <c r="I22" s="392">
        <f t="shared" si="0"/>
        <v>0</v>
      </c>
      <c r="J22" s="393"/>
      <c r="K22" s="394">
        <f t="shared" si="1"/>
        <v>0</v>
      </c>
      <c r="L22" s="395"/>
      <c r="M22" s="396"/>
    </row>
    <row r="23" spans="1:16" ht="15.75" thickBot="1" x14ac:dyDescent="0.3">
      <c r="A23" s="402"/>
      <c r="B23" s="403"/>
      <c r="C23" s="389"/>
      <c r="D23" s="390"/>
      <c r="E23" s="390"/>
      <c r="F23" s="391"/>
      <c r="G23" s="285" t="str">
        <f t="array" ref="G23">IF(ISNA(INDEX(RefTable!$E$9:$E$43,MATCH(1,(RefTable!$C$9:$C$43=Inventory!A23)*(RefTable!$D$9:$D$43=Inventory!C23),0))),"0",INDEX(RefTable!$E$9:$E$43,MATCH(1,(RefTable!$C$9:$C$43=Inventory!A23)*(RefTable!$D$9:$D$43=Inventory!C23),0)))</f>
        <v>0</v>
      </c>
      <c r="H23" s="122"/>
      <c r="I23" s="380">
        <f t="shared" si="0"/>
        <v>0</v>
      </c>
      <c r="J23" s="381"/>
      <c r="K23" s="382">
        <f t="shared" si="1"/>
        <v>0</v>
      </c>
      <c r="L23" s="383"/>
      <c r="M23" s="384"/>
    </row>
    <row r="25" spans="1:16" x14ac:dyDescent="0.25">
      <c r="P25" t="s">
        <v>132</v>
      </c>
    </row>
    <row r="26" spans="1:16" x14ac:dyDescent="0.25">
      <c r="P26">
        <v>12</v>
      </c>
    </row>
    <row r="27" spans="1:16" ht="15.75" x14ac:dyDescent="0.25">
      <c r="B27" s="78" t="s">
        <v>126</v>
      </c>
      <c r="P27">
        <v>11</v>
      </c>
    </row>
    <row r="28" spans="1:16" ht="15.75" thickBot="1" x14ac:dyDescent="0.3">
      <c r="B28" t="s">
        <v>127</v>
      </c>
      <c r="P28">
        <v>10</v>
      </c>
    </row>
    <row r="29" spans="1:16" ht="15.75" thickBot="1" x14ac:dyDescent="0.3">
      <c r="B29" s="372" t="s">
        <v>5</v>
      </c>
      <c r="C29" s="373"/>
      <c r="D29" s="372" t="s">
        <v>128</v>
      </c>
      <c r="E29" s="373"/>
      <c r="L29" s="105"/>
      <c r="P29">
        <v>9</v>
      </c>
    </row>
    <row r="30" spans="1:16" x14ac:dyDescent="0.25">
      <c r="B30" s="378" t="str">
        <f>A18</f>
        <v>Sheep</v>
      </c>
      <c r="C30" s="379"/>
      <c r="D30" s="374">
        <v>24</v>
      </c>
      <c r="E30" s="375"/>
      <c r="G30" s="26" t="s">
        <v>130</v>
      </c>
      <c r="L30" s="106"/>
      <c r="P30">
        <v>8</v>
      </c>
    </row>
    <row r="31" spans="1:16" ht="15.75" thickBot="1" x14ac:dyDescent="0.3">
      <c r="B31" s="368" t="str">
        <f t="shared" ref="B31:B35" si="2">A19</f>
        <v>Goat</v>
      </c>
      <c r="C31" s="369"/>
      <c r="D31" s="374">
        <v>24</v>
      </c>
      <c r="E31" s="375"/>
      <c r="G31" t="s">
        <v>131</v>
      </c>
      <c r="P31">
        <v>7</v>
      </c>
    </row>
    <row r="32" spans="1:16" ht="15.75" thickBot="1" x14ac:dyDescent="0.3">
      <c r="B32" s="368">
        <f t="shared" si="2"/>
        <v>0</v>
      </c>
      <c r="C32" s="369"/>
      <c r="D32" s="374"/>
      <c r="E32" s="375"/>
      <c r="G32" s="119">
        <v>4</v>
      </c>
      <c r="H32" s="126" t="s">
        <v>356</v>
      </c>
      <c r="I32" s="228" t="s">
        <v>247</v>
      </c>
      <c r="J32" s="229"/>
      <c r="K32" s="229"/>
      <c r="L32" s="229"/>
      <c r="M32" s="2"/>
      <c r="N32" s="2"/>
      <c r="O32" s="230"/>
      <c r="P32">
        <v>6</v>
      </c>
    </row>
    <row r="33" spans="2:16" x14ac:dyDescent="0.25">
      <c r="B33" s="368">
        <f t="shared" si="2"/>
        <v>0</v>
      </c>
      <c r="C33" s="369"/>
      <c r="D33" s="374"/>
      <c r="E33" s="375"/>
      <c r="I33" s="231"/>
      <c r="J33" s="232" t="s">
        <v>212</v>
      </c>
      <c r="K33" s="6"/>
      <c r="L33" s="6"/>
      <c r="M33" s="6"/>
      <c r="N33" s="6"/>
      <c r="O33" s="233"/>
      <c r="P33">
        <v>5</v>
      </c>
    </row>
    <row r="34" spans="2:16" x14ac:dyDescent="0.25">
      <c r="B34" s="368">
        <f t="shared" si="2"/>
        <v>0</v>
      </c>
      <c r="C34" s="369"/>
      <c r="D34" s="374"/>
      <c r="E34" s="375"/>
      <c r="I34" s="234"/>
      <c r="J34" s="232" t="s">
        <v>218</v>
      </c>
      <c r="K34" s="6"/>
      <c r="L34" s="6"/>
      <c r="M34" s="6"/>
      <c r="N34" s="6"/>
      <c r="O34" s="233"/>
      <c r="P34">
        <v>4</v>
      </c>
    </row>
    <row r="35" spans="2:16" ht="15.75" thickBot="1" x14ac:dyDescent="0.3">
      <c r="B35" s="370">
        <f t="shared" si="2"/>
        <v>0</v>
      </c>
      <c r="C35" s="371"/>
      <c r="D35" s="376"/>
      <c r="E35" s="377"/>
      <c r="I35" s="239" t="s">
        <v>357</v>
      </c>
      <c r="J35" s="240"/>
      <c r="K35" s="240"/>
      <c r="L35" s="22"/>
      <c r="M35" s="22"/>
      <c r="N35" s="22"/>
      <c r="O35" s="235"/>
      <c r="P35">
        <v>3</v>
      </c>
    </row>
    <row r="36" spans="2:16" x14ac:dyDescent="0.25">
      <c r="H36" s="126" t="s">
        <v>356</v>
      </c>
      <c r="I36" s="228" t="s">
        <v>359</v>
      </c>
      <c r="J36" s="229"/>
      <c r="K36" s="229"/>
      <c r="L36" s="229"/>
      <c r="M36" s="229"/>
      <c r="N36" s="2"/>
      <c r="O36" s="230"/>
    </row>
    <row r="37" spans="2:16" x14ac:dyDescent="0.25">
      <c r="I37" s="236"/>
      <c r="J37" s="232" t="s">
        <v>215</v>
      </c>
      <c r="K37" s="6"/>
      <c r="L37" s="6"/>
      <c r="M37" s="6"/>
      <c r="N37" s="6"/>
      <c r="O37" s="233"/>
    </row>
    <row r="38" spans="2:16" x14ac:dyDescent="0.25">
      <c r="I38" s="231"/>
      <c r="J38" s="232" t="s">
        <v>216</v>
      </c>
      <c r="K38" s="6"/>
      <c r="L38" s="6"/>
      <c r="M38" s="6"/>
      <c r="N38" s="6"/>
      <c r="O38" s="233"/>
    </row>
    <row r="39" spans="2:16" ht="15.75" thickBot="1" x14ac:dyDescent="0.3">
      <c r="I39" s="237" t="s">
        <v>358</v>
      </c>
      <c r="J39" s="238"/>
      <c r="K39" s="238"/>
      <c r="L39" s="22"/>
      <c r="M39" s="22"/>
      <c r="N39" s="22"/>
      <c r="O39" s="235"/>
    </row>
  </sheetData>
  <sheetProtection sheet="1" objects="1" scenarios="1"/>
  <mergeCells count="47">
    <mergeCell ref="A23:B23"/>
    <mergeCell ref="H16:H17"/>
    <mergeCell ref="C3:F3"/>
    <mergeCell ref="C2:F2"/>
    <mergeCell ref="C4:F4"/>
    <mergeCell ref="A22:B22"/>
    <mergeCell ref="A17:B17"/>
    <mergeCell ref="A18:B18"/>
    <mergeCell ref="A19:B19"/>
    <mergeCell ref="A20:B20"/>
    <mergeCell ref="A21:B21"/>
    <mergeCell ref="K20:M20"/>
    <mergeCell ref="K16:M16"/>
    <mergeCell ref="I17:J17"/>
    <mergeCell ref="K17:M17"/>
    <mergeCell ref="I18:J18"/>
    <mergeCell ref="K18:M18"/>
    <mergeCell ref="I23:J23"/>
    <mergeCell ref="K23:M23"/>
    <mergeCell ref="C17:F17"/>
    <mergeCell ref="C18:F18"/>
    <mergeCell ref="C19:F19"/>
    <mergeCell ref="C20:F20"/>
    <mergeCell ref="C21:F21"/>
    <mergeCell ref="C22:F22"/>
    <mergeCell ref="C23:F23"/>
    <mergeCell ref="I21:J21"/>
    <mergeCell ref="K21:M21"/>
    <mergeCell ref="I22:J22"/>
    <mergeCell ref="K22:M22"/>
    <mergeCell ref="I19:J19"/>
    <mergeCell ref="K19:M19"/>
    <mergeCell ref="I20:J20"/>
    <mergeCell ref="B34:C34"/>
    <mergeCell ref="B35:C35"/>
    <mergeCell ref="D29:E29"/>
    <mergeCell ref="D30:E30"/>
    <mergeCell ref="D31:E31"/>
    <mergeCell ref="D32:E32"/>
    <mergeCell ref="D33:E33"/>
    <mergeCell ref="D34:E34"/>
    <mergeCell ref="D35:E35"/>
    <mergeCell ref="B29:C29"/>
    <mergeCell ref="B30:C30"/>
    <mergeCell ref="B31:C31"/>
    <mergeCell ref="B32:C32"/>
    <mergeCell ref="B33:C33"/>
  </mergeCells>
  <dataValidations count="3">
    <dataValidation type="list" allowBlank="1" showInputMessage="1" showErrorMessage="1" sqref="A18:B23">
      <formula1>dd_primary</formula1>
    </dataValidation>
    <dataValidation type="list" allowBlank="1" showInputMessage="1" showErrorMessage="1" sqref="D30:E35">
      <formula1>$P$15:$P$21</formula1>
    </dataValidation>
    <dataValidation type="list" allowBlank="1" showInputMessage="1" showErrorMessage="1" sqref="G32">
      <formula1>$P$26:$P$35</formula1>
    </dataValidation>
  </dataValidations>
  <pageMargins left="0.25" right="0.25" top="0.75" bottom="0.75" header="0.3" footer="0.3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RefTable!$N$6:$U$6</xm:f>
          </x14:formula1>
          <xm:sqref>C18:F18</xm:sqref>
        </x14:dataValidation>
        <x14:dataValidation type="list" allowBlank="1" showInputMessage="1" showErrorMessage="1">
          <x14:formula1>
            <xm:f>RefTable!$N$7:$U$7</xm:f>
          </x14:formula1>
          <xm:sqref>C19:F19</xm:sqref>
        </x14:dataValidation>
        <x14:dataValidation type="list" allowBlank="1" showInputMessage="1" showErrorMessage="1">
          <x14:formula1>
            <xm:f>RefTable!$N$8:$U$8</xm:f>
          </x14:formula1>
          <xm:sqref>C20:F20</xm:sqref>
        </x14:dataValidation>
        <x14:dataValidation type="list" allowBlank="1" showInputMessage="1" showErrorMessage="1">
          <x14:formula1>
            <xm:f>RefTable!$N$9:$U$9</xm:f>
          </x14:formula1>
          <xm:sqref>C21:F21</xm:sqref>
        </x14:dataValidation>
        <x14:dataValidation type="list" allowBlank="1" showInputMessage="1" showErrorMessage="1">
          <x14:formula1>
            <xm:f>RefTable!$N$10:$U$10</xm:f>
          </x14:formula1>
          <xm:sqref>C22:F22</xm:sqref>
        </x14:dataValidation>
        <x14:dataValidation type="list" allowBlank="1" showInputMessage="1" showErrorMessage="1">
          <x14:formula1>
            <xm:f>RefTable!$N$11:$U$11</xm:f>
          </x14:formula1>
          <xm:sqref>C23:F23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N50"/>
  <sheetViews>
    <sheetView showZeros="0" topLeftCell="A7" workbookViewId="0">
      <selection activeCell="A3" sqref="A3"/>
    </sheetView>
  </sheetViews>
  <sheetFormatPr defaultRowHeight="15" x14ac:dyDescent="0.25"/>
  <cols>
    <col min="1" max="1" width="25.5703125" customWidth="1"/>
    <col min="2" max="2" width="30.5703125" customWidth="1"/>
    <col min="3" max="3" width="14.140625" customWidth="1"/>
    <col min="4" max="4" width="13" customWidth="1"/>
    <col min="5" max="5" width="13.28515625" customWidth="1"/>
    <col min="6" max="6" width="9.85546875" customWidth="1"/>
    <col min="7" max="7" width="12.7109375" customWidth="1"/>
    <col min="8" max="9" width="16.5703125" customWidth="1"/>
    <col min="10" max="10" width="18.85546875" customWidth="1"/>
  </cols>
  <sheetData>
    <row r="1" spans="1:14" ht="15.75" thickBot="1" x14ac:dyDescent="0.3">
      <c r="A1" s="118" t="s">
        <v>117</v>
      </c>
    </row>
    <row r="2" spans="1:14" ht="15.75" thickTop="1" x14ac:dyDescent="0.25">
      <c r="A2" s="118" t="s">
        <v>248</v>
      </c>
      <c r="J2" s="126" t="s">
        <v>236</v>
      </c>
      <c r="K2" s="156" t="s">
        <v>188</v>
      </c>
      <c r="L2" s="62"/>
      <c r="M2" s="151"/>
      <c r="N2" s="63"/>
    </row>
    <row r="3" spans="1:14" x14ac:dyDescent="0.25">
      <c r="A3" t="s">
        <v>425</v>
      </c>
      <c r="K3" s="155"/>
      <c r="L3" s="153" t="s">
        <v>67</v>
      </c>
      <c r="M3" s="6"/>
      <c r="N3" s="67"/>
    </row>
    <row r="4" spans="1:14" ht="15.75" thickBot="1" x14ac:dyDescent="0.3">
      <c r="K4" s="152"/>
      <c r="L4" s="153" t="s">
        <v>187</v>
      </c>
      <c r="M4" s="134"/>
      <c r="N4" s="67"/>
    </row>
    <row r="5" spans="1:14" ht="15.75" thickBot="1" x14ac:dyDescent="0.3">
      <c r="A5" s="26" t="s">
        <v>145</v>
      </c>
      <c r="H5" s="425" t="s">
        <v>133</v>
      </c>
      <c r="I5" s="426"/>
      <c r="K5" s="154"/>
      <c r="L5" s="72" t="s">
        <v>237</v>
      </c>
      <c r="M5" s="72"/>
      <c r="N5" s="73"/>
    </row>
    <row r="6" spans="1:14" ht="15" customHeight="1" x14ac:dyDescent="0.25">
      <c r="A6" s="415" t="s">
        <v>125</v>
      </c>
      <c r="B6" s="415" t="s">
        <v>6</v>
      </c>
      <c r="C6" s="413" t="s">
        <v>124</v>
      </c>
      <c r="D6" s="413" t="s">
        <v>118</v>
      </c>
      <c r="E6" s="413" t="s">
        <v>119</v>
      </c>
      <c r="F6" s="417" t="s">
        <v>120</v>
      </c>
      <c r="G6" s="419" t="s">
        <v>121</v>
      </c>
      <c r="H6" s="421" t="s">
        <v>122</v>
      </c>
      <c r="I6" s="423" t="s">
        <v>123</v>
      </c>
      <c r="J6" s="126" t="s">
        <v>238</v>
      </c>
      <c r="K6" s="76"/>
      <c r="L6" s="74"/>
      <c r="M6" s="75"/>
    </row>
    <row r="7" spans="1:14" x14ac:dyDescent="0.25">
      <c r="A7" s="416"/>
      <c r="B7" s="416"/>
      <c r="C7" s="414"/>
      <c r="D7" s="414"/>
      <c r="E7" s="414"/>
      <c r="F7" s="418"/>
      <c r="G7" s="420"/>
      <c r="H7" s="422"/>
      <c r="I7" s="424"/>
      <c r="K7" s="205"/>
      <c r="L7" s="74" t="s">
        <v>332</v>
      </c>
    </row>
    <row r="8" spans="1:14" x14ac:dyDescent="0.25">
      <c r="A8" s="206" t="str">
        <f>Inventory!A18</f>
        <v>Sheep</v>
      </c>
      <c r="B8" s="206" t="str">
        <f>Inventory!C18</f>
        <v>Lamb (Market)</v>
      </c>
      <c r="C8" s="207">
        <f>Inventory!K18</f>
        <v>2</v>
      </c>
      <c r="D8" s="124">
        <f t="array" ref="D8">IF(ISNA(INDEX(RefTable!$G$9:$G$43,MATCH(1,(RefTable!$C$9:$C$43=$A8)*(RefTable!$D$9:$D$43=$B8),0))),"0",INDEX(RefTable!$G$9:$G$43,MATCH(1,(RefTable!$C$9:$C$43=$A8)*(RefTable!$D$9:$D$43=$B8),0)))</f>
        <v>110</v>
      </c>
      <c r="E8" s="124">
        <f t="array" ref="E8">IF(ISNA(INDEX(RefTable!$H$9:$H$43,MATCH(1,(RefTable!$C$9:$C$43=$A8)*(RefTable!$D$9:$D$43=$B8),0))),"0",INDEX(RefTable!$H$9:$H$43,MATCH(1,(RefTable!$C$9:$C$43=$A8)*(RefTable!$D$9:$D$43=$B8),0)))</f>
        <v>1.8</v>
      </c>
      <c r="F8" s="124">
        <f t="array" ref="F8">IF(ISNA(INDEX(RefTable!$I$9:$I$43,MATCH(1,(RefTable!$C$9:$C$43=$A8)*(RefTable!$D$9:$D$43=$B8),0))),"0",INDEX(RefTable!$I$9:$I$43,MATCH(1,(RefTable!$C$9:$C$43=$A8)*(RefTable!$D$9:$D$43=$B8),0)))</f>
        <v>57</v>
      </c>
      <c r="G8" s="208">
        <f>Inventory!D30</f>
        <v>24</v>
      </c>
      <c r="H8" s="275">
        <f>C8*D8*G8/24</f>
        <v>220</v>
      </c>
      <c r="I8" s="277">
        <f>C8*E8*G8/24</f>
        <v>3.6</v>
      </c>
      <c r="K8" s="77"/>
      <c r="L8" s="74" t="s">
        <v>333</v>
      </c>
      <c r="M8" s="75"/>
    </row>
    <row r="9" spans="1:14" x14ac:dyDescent="0.25">
      <c r="A9" s="206" t="str">
        <f>Inventory!A19</f>
        <v>Goat</v>
      </c>
      <c r="B9" s="206" t="str">
        <f>Inventory!C19</f>
        <v>Dry (pregnant)</v>
      </c>
      <c r="C9" s="207">
        <f>Inventory!K19</f>
        <v>7.5</v>
      </c>
      <c r="D9" s="124">
        <f t="array" ref="D9">IF(ISNA(INDEX(RefTable!$G$9:$G$43,MATCH(1,(RefTable!$C$9:$C$43=$A9)*(RefTable!$D$9:$D$43=$B9),0))),"0",INDEX(RefTable!$G$9:$G$43,MATCH(1,(RefTable!$C$9:$C$43=$A9)*(RefTable!$D$9:$D$43=$B9),0)))</f>
        <v>117</v>
      </c>
      <c r="E9" s="124">
        <f t="array" ref="E9">IF(ISNA(INDEX(RefTable!$H$9:$H$43,MATCH(1,(RefTable!$C$9:$C$43=$A9)*(RefTable!$D$9:$D$43=$B9),0))),"0",INDEX(RefTable!$H$9:$H$43,MATCH(1,(RefTable!$C$9:$C$43=$A9)*(RefTable!$D$9:$D$43=$B9),0)))</f>
        <v>2</v>
      </c>
      <c r="F9" s="124">
        <f t="array" ref="F9">IF(ISNA(INDEX(RefTable!$I$9:$I$43,MATCH(1,(RefTable!$C$9:$C$43=$A9)*(RefTable!$D$9:$D$43=$B9),0))),"0",INDEX(RefTable!$I$9:$I$43,MATCH(1,(RefTable!$C$9:$C$43=$A9)*(RefTable!$D$9:$D$43=$B9),0)))</f>
        <v>56</v>
      </c>
      <c r="G9" s="208">
        <f>Inventory!D31</f>
        <v>24</v>
      </c>
      <c r="H9" s="275">
        <f t="shared" ref="H9:H13" si="0">C9*D9*G9/24</f>
        <v>877.5</v>
      </c>
      <c r="I9" s="277">
        <f t="shared" ref="I9:I13" si="1">C9*E9*G9/24</f>
        <v>15</v>
      </c>
      <c r="K9" s="167" t="s">
        <v>334</v>
      </c>
    </row>
    <row r="10" spans="1:14" x14ac:dyDescent="0.25">
      <c r="A10" s="206">
        <f>Inventory!A20</f>
        <v>0</v>
      </c>
      <c r="B10" s="206">
        <f>Inventory!C20</f>
        <v>0</v>
      </c>
      <c r="C10" s="207">
        <f>Inventory!K20</f>
        <v>0</v>
      </c>
      <c r="D10" s="124" t="str">
        <f t="array" ref="D10">IF(ISNA(INDEX(RefTable!$G$9:$G$43,MATCH(1,(RefTable!$C$9:$C$43=$A10)*(RefTable!$D$9:$D$43=$B10),0))),"0",INDEX(RefTable!$G$9:$G$43,MATCH(1,(RefTable!$C$9:$C$43=$A10)*(RefTable!$D$9:$D$43=$B10),0)))</f>
        <v>0</v>
      </c>
      <c r="E10" s="124" t="str">
        <f t="array" ref="E10">IF(ISNA(INDEX(RefTable!$H$9:$H$43,MATCH(1,(RefTable!$C$9:$C$43=$A10)*(RefTable!$D$9:$D$43=$B10),0))),"0",INDEX(RefTable!$H$9:$H$43,MATCH(1,(RefTable!$C$9:$C$43=$A10)*(RefTable!$D$9:$D$43=$B10),0)))</f>
        <v>0</v>
      </c>
      <c r="F10" s="124" t="str">
        <f t="array" ref="F10">IF(ISNA(INDEX(RefTable!$I$9:$I$43,MATCH(1,(RefTable!$C$9:$C$43=$A10)*(RefTable!$D$9:$D$43=$B10),0))),"0",INDEX(RefTable!$I$9:$I$43,MATCH(1,(RefTable!$C$9:$C$43=$A10)*(RefTable!$D$9:$D$43=$B10),0)))</f>
        <v>0</v>
      </c>
      <c r="G10" s="208">
        <f>Inventory!D32</f>
        <v>0</v>
      </c>
      <c r="H10" s="275">
        <f t="shared" si="0"/>
        <v>0</v>
      </c>
      <c r="I10" s="277">
        <f t="shared" si="1"/>
        <v>0</v>
      </c>
      <c r="K10" s="169"/>
      <c r="L10" s="74" t="s">
        <v>335</v>
      </c>
    </row>
    <row r="11" spans="1:14" x14ac:dyDescent="0.25">
      <c r="A11" s="206">
        <f>Inventory!A21</f>
        <v>0</v>
      </c>
      <c r="B11" s="206">
        <f>Inventory!C21</f>
        <v>0</v>
      </c>
      <c r="C11" s="207">
        <f>Inventory!K21</f>
        <v>0</v>
      </c>
      <c r="D11" s="124" t="str">
        <f t="array" ref="D11">IF(ISNA(INDEX(RefTable!$G$9:$G$43,MATCH(1,(RefTable!$C$9:$C$43=$A11)*(RefTable!$D$9:$D$43=$B11),0))),"0",INDEX(RefTable!$G$9:$G$43,MATCH(1,(RefTable!$C$9:$C$43=$A11)*(RefTable!$D$9:$D$43=$B11),0)))</f>
        <v>0</v>
      </c>
      <c r="E11" s="124" t="str">
        <f t="array" ref="E11">IF(ISNA(INDEX(RefTable!$H$9:$H$43,MATCH(1,(RefTable!$C$9:$C$43=$A11)*(RefTable!$D$9:$D$43=$B11),0))),"0",INDEX(RefTable!$H$9:$H$43,MATCH(1,(RefTable!$C$9:$C$43=$A11)*(RefTable!$D$9:$D$43=$B11),0)))</f>
        <v>0</v>
      </c>
      <c r="F11" s="124" t="str">
        <f t="array" ref="F11">IF(ISNA(INDEX(RefTable!$I$9:$I$43,MATCH(1,(RefTable!$C$9:$C$43=$A11)*(RefTable!$D$9:$D$43=$B11),0))),"0",INDEX(RefTable!$I$9:$I$43,MATCH(1,(RefTable!$C$9:$C$43=$A11)*(RefTable!$D$9:$D$43=$B11),0)))</f>
        <v>0</v>
      </c>
      <c r="G11" s="208">
        <f>Inventory!D33</f>
        <v>0</v>
      </c>
      <c r="H11" s="275">
        <f t="shared" si="0"/>
        <v>0</v>
      </c>
      <c r="I11" s="277">
        <f t="shared" si="1"/>
        <v>0</v>
      </c>
    </row>
    <row r="12" spans="1:14" x14ac:dyDescent="0.25">
      <c r="A12" s="206">
        <f>Inventory!A22</f>
        <v>0</v>
      </c>
      <c r="B12" s="206">
        <f>Inventory!C22</f>
        <v>0</v>
      </c>
      <c r="C12" s="207">
        <f>Inventory!K22</f>
        <v>0</v>
      </c>
      <c r="D12" s="124" t="str">
        <f t="array" ref="D12">IF(ISNA(INDEX(RefTable!$G$9:$G$43,MATCH(1,(RefTable!$C$9:$C$43=$A12)*(RefTable!$D$9:$D$43=$B12),0))),"0",INDEX(RefTable!$G$9:$G$43,MATCH(1,(RefTable!$C$9:$C$43=$A12)*(RefTable!$D$9:$D$43=$B12),0)))</f>
        <v>0</v>
      </c>
      <c r="E12" s="124" t="str">
        <f t="array" ref="E12">IF(ISNA(INDEX(RefTable!$H$9:$H$43,MATCH(1,(RefTable!$C$9:$C$43=$A12)*(RefTable!$D$9:$D$43=$B12),0))),"0",INDEX(RefTable!$H$9:$H$43,MATCH(1,(RefTable!$C$9:$C$43=$A12)*(RefTable!$D$9:$D$43=$B12),0)))</f>
        <v>0</v>
      </c>
      <c r="F12" s="124" t="str">
        <f t="array" ref="F12">IF(ISNA(INDEX(RefTable!$I$9:$I$43,MATCH(1,(RefTable!$C$9:$C$43=$A12)*(RefTable!$D$9:$D$43=$B12),0))),"0",INDEX(RefTable!$I$9:$I$43,MATCH(1,(RefTable!$C$9:$C$43=$A12)*(RefTable!$D$9:$D$43=$B12),0)))</f>
        <v>0</v>
      </c>
      <c r="G12" s="208">
        <f>Inventory!D34</f>
        <v>0</v>
      </c>
      <c r="H12" s="275">
        <f t="shared" si="0"/>
        <v>0</v>
      </c>
      <c r="I12" s="277">
        <f t="shared" si="1"/>
        <v>0</v>
      </c>
    </row>
    <row r="13" spans="1:14" x14ac:dyDescent="0.25">
      <c r="A13" s="206">
        <f>Inventory!A23</f>
        <v>0</v>
      </c>
      <c r="B13" s="206">
        <f>Inventory!C23</f>
        <v>0</v>
      </c>
      <c r="C13" s="207">
        <f>Inventory!K23</f>
        <v>0</v>
      </c>
      <c r="D13" s="124" t="str">
        <f t="array" ref="D13">IF(ISNA(INDEX(RefTable!$G$9:$G$43,MATCH(1,(RefTable!$C$9:$C$43=$A13)*(RefTable!$D$9:$D$43=$B13),0))),"0",INDEX(RefTable!$G$9:$G$43,MATCH(1,(RefTable!$C$9:$C$43=$A13)*(RefTable!$D$9:$D$43=$B13),0)))</f>
        <v>0</v>
      </c>
      <c r="E13" s="124" t="str">
        <f t="array" ref="E13">IF(ISNA(INDEX(RefTable!$H$9:$H$43,MATCH(1,(RefTable!$C$9:$C$43=$A13)*(RefTable!$D$9:$D$43=$B13),0))),"0",INDEX(RefTable!$H$9:$H$43,MATCH(1,(RefTable!$C$9:$C$43=$A13)*(RefTable!$D$9:$D$43=$B13),0)))</f>
        <v>0</v>
      </c>
      <c r="F13" s="124" t="str">
        <f t="array" ref="F13">IF(ISNA(INDEX(RefTable!$I$9:$I$43,MATCH(1,(RefTable!$C$9:$C$43=$A13)*(RefTable!$D$9:$D$43=$B13),0))),"0",INDEX(RefTable!$I$9:$I$43,MATCH(1,(RefTable!$C$9:$C$43=$A13)*(RefTable!$D$9:$D$43=$B13),0)))</f>
        <v>0</v>
      </c>
      <c r="G13" s="208">
        <f>Inventory!D35</f>
        <v>0</v>
      </c>
      <c r="H13" s="275">
        <f t="shared" si="0"/>
        <v>0</v>
      </c>
      <c r="I13" s="277">
        <f t="shared" si="1"/>
        <v>0</v>
      </c>
    </row>
    <row r="15" spans="1:14" ht="15.75" thickBot="1" x14ac:dyDescent="0.3"/>
    <row r="16" spans="1:14" ht="15.75" thickBot="1" x14ac:dyDescent="0.3">
      <c r="H16" s="425" t="s">
        <v>134</v>
      </c>
      <c r="I16" s="426"/>
    </row>
    <row r="17" spans="1:9" ht="15.75" thickBot="1" x14ac:dyDescent="0.3">
      <c r="H17" s="421" t="s">
        <v>136</v>
      </c>
      <c r="I17" s="423" t="s">
        <v>135</v>
      </c>
    </row>
    <row r="18" spans="1:9" ht="15.75" thickBot="1" x14ac:dyDescent="0.3">
      <c r="A18" s="26" t="s">
        <v>146</v>
      </c>
      <c r="D18" s="435" t="s">
        <v>148</v>
      </c>
      <c r="E18" s="435" t="s">
        <v>149</v>
      </c>
      <c r="H18" s="422"/>
      <c r="I18" s="424"/>
    </row>
    <row r="19" spans="1:9" ht="15" customHeight="1" x14ac:dyDescent="0.25">
      <c r="A19" s="415" t="s">
        <v>150</v>
      </c>
      <c r="B19" s="415" t="s">
        <v>6</v>
      </c>
      <c r="C19" s="433" t="s">
        <v>147</v>
      </c>
      <c r="D19" s="436"/>
      <c r="E19" s="436"/>
      <c r="H19" s="275">
        <f>H8*7</f>
        <v>1540</v>
      </c>
      <c r="I19" s="275">
        <f>I8*7</f>
        <v>25.2</v>
      </c>
    </row>
    <row r="20" spans="1:9" ht="15.75" thickBot="1" x14ac:dyDescent="0.3">
      <c r="A20" s="416"/>
      <c r="B20" s="416"/>
      <c r="C20" s="434"/>
      <c r="D20" s="437"/>
      <c r="E20" s="437"/>
      <c r="H20" s="275">
        <f t="shared" ref="H20:I24" si="2">H9*7</f>
        <v>6142.5</v>
      </c>
      <c r="I20" s="275">
        <f t="shared" si="2"/>
        <v>105</v>
      </c>
    </row>
    <row r="21" spans="1:9" x14ac:dyDescent="0.25">
      <c r="A21" s="206" t="str">
        <f>Inventory!A18</f>
        <v>Sheep</v>
      </c>
      <c r="B21" s="206" t="str">
        <f>Inventory!C18</f>
        <v>Lamb (Market)</v>
      </c>
      <c r="C21" s="284">
        <f>Inventory!H18</f>
        <v>25</v>
      </c>
      <c r="D21" s="125">
        <f t="array" ref="D21">IF(ISNA(INDEX(RefTable!$F$9:$F$43,MATCH(1,(RefTable!$C$9:$C$43=$A21)*(RefTable!$D$9:$D$43=$B21),0))),"0",INDEX(RefTable!$F$9:$F$43,MATCH(1,(RefTable!$C$9:$C$43=$A21)*(RefTable!$D$9:$D$43=$B21),0)))</f>
        <v>20</v>
      </c>
      <c r="E21" s="275">
        <f>C21*D21</f>
        <v>500</v>
      </c>
      <c r="H21" s="275">
        <f t="shared" si="2"/>
        <v>0</v>
      </c>
      <c r="I21" s="275">
        <f t="shared" si="2"/>
        <v>0</v>
      </c>
    </row>
    <row r="22" spans="1:9" x14ac:dyDescent="0.25">
      <c r="A22" s="206" t="str">
        <f>Inventory!A19</f>
        <v>Goat</v>
      </c>
      <c r="B22" s="206" t="str">
        <f>Inventory!C19</f>
        <v>Dry (pregnant)</v>
      </c>
      <c r="C22" s="284">
        <f>Inventory!H19</f>
        <v>50</v>
      </c>
      <c r="D22" s="125">
        <f t="array" ref="D22">IF(ISNA(INDEX(RefTable!$F$9:$F$43,MATCH(1,(RefTable!$C$9:$C$43=$A22)*(RefTable!$D$9:$D$43=$B22),0))),"0",INDEX(RefTable!$F$9:$F$43,MATCH(1,(RefTable!$C$9:$C$43=$A22)*(RefTable!$D$9:$D$43=$B22),0)))</f>
        <v>15</v>
      </c>
      <c r="E22" s="275">
        <f t="shared" ref="E22:E26" si="3">C22*D22</f>
        <v>750</v>
      </c>
      <c r="H22" s="275">
        <f t="shared" si="2"/>
        <v>0</v>
      </c>
      <c r="I22" s="275">
        <f t="shared" si="2"/>
        <v>0</v>
      </c>
    </row>
    <row r="23" spans="1:9" x14ac:dyDescent="0.25">
      <c r="A23" s="206">
        <f>Inventory!A20</f>
        <v>0</v>
      </c>
      <c r="B23" s="206">
        <f>Inventory!C20</f>
        <v>0</v>
      </c>
      <c r="C23" s="284">
        <f>Inventory!H20</f>
        <v>0</v>
      </c>
      <c r="D23" s="125" t="str">
        <f t="array" ref="D23">IF(ISNA(INDEX(RefTable!$F$9:$F$43,MATCH(1,(RefTable!$C$9:$C$43=$A23)*(RefTable!$D$9:$D$43=$B23),0))),"0",INDEX(RefTable!$F$9:$F$43,MATCH(1,(RefTable!$C$9:$C$43=$A23)*(RefTable!$D$9:$D$43=$B23),0)))</f>
        <v>0</v>
      </c>
      <c r="E23" s="275">
        <f t="shared" si="3"/>
        <v>0</v>
      </c>
      <c r="H23" s="275">
        <f t="shared" si="2"/>
        <v>0</v>
      </c>
      <c r="I23" s="275">
        <f t="shared" si="2"/>
        <v>0</v>
      </c>
    </row>
    <row r="24" spans="1:9" x14ac:dyDescent="0.25">
      <c r="A24" s="206">
        <f>Inventory!A21</f>
        <v>0</v>
      </c>
      <c r="B24" s="206">
        <f>Inventory!C21</f>
        <v>0</v>
      </c>
      <c r="C24" s="284">
        <f>Inventory!H21</f>
        <v>0</v>
      </c>
      <c r="D24" s="125" t="str">
        <f t="array" ref="D24">IF(ISNA(INDEX(RefTable!$F$9:$F$43,MATCH(1,(RefTable!$C$9:$C$43=$A24)*(RefTable!$D$9:$D$43=$B24),0))),"0",INDEX(RefTable!$F$9:$F$43,MATCH(1,(RefTable!$C$9:$C$43=$A24)*(RefTable!$D$9:$D$43=$B24),0)))</f>
        <v>0</v>
      </c>
      <c r="E24" s="275">
        <f t="shared" si="3"/>
        <v>0</v>
      </c>
      <c r="H24" s="275">
        <f t="shared" si="2"/>
        <v>0</v>
      </c>
      <c r="I24" s="275">
        <f t="shared" si="2"/>
        <v>0</v>
      </c>
    </row>
    <row r="25" spans="1:9" x14ac:dyDescent="0.25">
      <c r="A25" s="206">
        <f>Inventory!A22</f>
        <v>0</v>
      </c>
      <c r="B25" s="206">
        <f>Inventory!C22</f>
        <v>0</v>
      </c>
      <c r="C25" s="284">
        <f>Inventory!H22</f>
        <v>0</v>
      </c>
      <c r="D25" s="125" t="str">
        <f t="array" ref="D25">IF(ISNA(INDEX(RefTable!$F$9:$F$43,MATCH(1,(RefTable!$C$9:$C$43=$A25)*(RefTable!$D$9:$D$43=$B25),0))),"0",INDEX(RefTable!$F$9:$F$43,MATCH(1,(RefTable!$C$9:$C$43=$A25)*(RefTable!$D$9:$D$43=$B25),0)))</f>
        <v>0</v>
      </c>
      <c r="E25" s="275">
        <f t="shared" si="3"/>
        <v>0</v>
      </c>
    </row>
    <row r="26" spans="1:9" x14ac:dyDescent="0.25">
      <c r="A26" s="206">
        <f>Inventory!A23</f>
        <v>0</v>
      </c>
      <c r="B26" s="206">
        <f>Inventory!C23</f>
        <v>0</v>
      </c>
      <c r="C26" s="284">
        <f>Inventory!H23</f>
        <v>0</v>
      </c>
      <c r="D26" s="125" t="str">
        <f t="array" ref="D26">IF(ISNA(INDEX(RefTable!$F$9:$F$43,MATCH(1,(RefTable!$C$9:$C$43=$A26)*(RefTable!$D$9:$D$43=$B26),0))),"0",INDEX(RefTable!$F$9:$F$43,MATCH(1,(RefTable!$C$9:$C$43=$A26)*(RefTable!$D$9:$D$43=$B26),0)))</f>
        <v>0</v>
      </c>
      <c r="E26" s="275">
        <f t="shared" si="3"/>
        <v>0</v>
      </c>
    </row>
    <row r="27" spans="1:9" ht="15.75" thickBot="1" x14ac:dyDescent="0.3">
      <c r="D27" s="126" t="s">
        <v>151</v>
      </c>
      <c r="H27" t="s">
        <v>140</v>
      </c>
    </row>
    <row r="28" spans="1:9" ht="16.5" thickTop="1" thickBot="1" x14ac:dyDescent="0.3">
      <c r="D28" s="126" t="s">
        <v>152</v>
      </c>
      <c r="E28" s="276">
        <f>SUM(E21:E26)</f>
        <v>1250</v>
      </c>
      <c r="H28" s="425" t="s">
        <v>137</v>
      </c>
      <c r="I28" s="426"/>
    </row>
    <row r="29" spans="1:9" ht="15.75" thickTop="1" x14ac:dyDescent="0.25">
      <c r="H29" s="421" t="s">
        <v>138</v>
      </c>
      <c r="I29" s="423" t="s">
        <v>139</v>
      </c>
    </row>
    <row r="30" spans="1:9" x14ac:dyDescent="0.25">
      <c r="H30" s="422"/>
      <c r="I30" s="424"/>
    </row>
    <row r="31" spans="1:9" x14ac:dyDescent="0.25">
      <c r="H31" s="275">
        <f>H19*4.3</f>
        <v>6622</v>
      </c>
      <c r="I31" s="275">
        <f>I19*4.3</f>
        <v>108.36</v>
      </c>
    </row>
    <row r="32" spans="1:9" x14ac:dyDescent="0.25">
      <c r="H32" s="275">
        <f t="shared" ref="H32:I36" si="4">H20*4.3</f>
        <v>26412.75</v>
      </c>
      <c r="I32" s="275">
        <f t="shared" si="4"/>
        <v>451.5</v>
      </c>
    </row>
    <row r="33" spans="7:10" x14ac:dyDescent="0.25">
      <c r="H33" s="275">
        <f t="shared" si="4"/>
        <v>0</v>
      </c>
      <c r="I33" s="275">
        <f t="shared" si="4"/>
        <v>0</v>
      </c>
    </row>
    <row r="34" spans="7:10" x14ac:dyDescent="0.25">
      <c r="H34" s="275">
        <f t="shared" si="4"/>
        <v>0</v>
      </c>
      <c r="I34" s="275">
        <f t="shared" si="4"/>
        <v>0</v>
      </c>
    </row>
    <row r="35" spans="7:10" x14ac:dyDescent="0.25">
      <c r="H35" s="275">
        <f t="shared" si="4"/>
        <v>0</v>
      </c>
      <c r="I35" s="275">
        <f t="shared" si="4"/>
        <v>0</v>
      </c>
    </row>
    <row r="36" spans="7:10" x14ac:dyDescent="0.25">
      <c r="H36" s="275">
        <f t="shared" si="4"/>
        <v>0</v>
      </c>
      <c r="I36" s="275">
        <f t="shared" si="4"/>
        <v>0</v>
      </c>
    </row>
    <row r="39" spans="7:10" ht="15.75" thickBot="1" x14ac:dyDescent="0.3">
      <c r="G39" s="284">
        <f>Inventory!G32</f>
        <v>4</v>
      </c>
      <c r="H39" t="s">
        <v>141</v>
      </c>
    </row>
    <row r="40" spans="7:10" ht="16.5" thickTop="1" thickBot="1" x14ac:dyDescent="0.3">
      <c r="H40" s="429" t="s">
        <v>142</v>
      </c>
      <c r="I40" s="430"/>
      <c r="J40" s="128" t="s">
        <v>158</v>
      </c>
    </row>
    <row r="41" spans="7:10" x14ac:dyDescent="0.25">
      <c r="H41" s="431" t="s">
        <v>143</v>
      </c>
      <c r="I41" s="423" t="s">
        <v>144</v>
      </c>
      <c r="J41" s="427" t="s">
        <v>354</v>
      </c>
    </row>
    <row r="42" spans="7:10" x14ac:dyDescent="0.25">
      <c r="H42" s="432"/>
      <c r="I42" s="424"/>
      <c r="J42" s="428"/>
    </row>
    <row r="43" spans="7:10" x14ac:dyDescent="0.25">
      <c r="H43" s="278">
        <f>H31*$G$39</f>
        <v>26488</v>
      </c>
      <c r="I43" s="279">
        <f>I31*$G$39</f>
        <v>433.44</v>
      </c>
      <c r="J43" s="280">
        <f>H43*F8/100</f>
        <v>15098.16</v>
      </c>
    </row>
    <row r="44" spans="7:10" x14ac:dyDescent="0.25">
      <c r="H44" s="278">
        <f t="shared" ref="H44:I48" si="5">H32*$G$39</f>
        <v>105651</v>
      </c>
      <c r="I44" s="279">
        <f t="shared" si="5"/>
        <v>1806</v>
      </c>
      <c r="J44" s="280">
        <f t="shared" ref="J44:J47" si="6">H44*F9/100</f>
        <v>59164.56</v>
      </c>
    </row>
    <row r="45" spans="7:10" x14ac:dyDescent="0.25">
      <c r="H45" s="278">
        <f t="shared" si="5"/>
        <v>0</v>
      </c>
      <c r="I45" s="279">
        <f t="shared" si="5"/>
        <v>0</v>
      </c>
      <c r="J45" s="280">
        <f t="shared" si="6"/>
        <v>0</v>
      </c>
    </row>
    <row r="46" spans="7:10" x14ac:dyDescent="0.25">
      <c r="H46" s="278">
        <f t="shared" si="5"/>
        <v>0</v>
      </c>
      <c r="I46" s="279">
        <f t="shared" si="5"/>
        <v>0</v>
      </c>
      <c r="J46" s="280">
        <f t="shared" si="6"/>
        <v>0</v>
      </c>
    </row>
    <row r="47" spans="7:10" x14ac:dyDescent="0.25">
      <c r="H47" s="278">
        <f t="shared" si="5"/>
        <v>0</v>
      </c>
      <c r="I47" s="279">
        <f t="shared" si="5"/>
        <v>0</v>
      </c>
      <c r="J47" s="280">
        <f t="shared" si="6"/>
        <v>0</v>
      </c>
    </row>
    <row r="48" spans="7:10" ht="15.75" thickBot="1" x14ac:dyDescent="0.3">
      <c r="H48" s="281">
        <f t="shared" si="5"/>
        <v>0</v>
      </c>
      <c r="I48" s="282">
        <f t="shared" si="5"/>
        <v>0</v>
      </c>
      <c r="J48" s="283">
        <f>H48*F13/100</f>
        <v>0</v>
      </c>
    </row>
    <row r="49" spans="7:10" ht="16.5" thickTop="1" thickBot="1" x14ac:dyDescent="0.3">
      <c r="G49" s="126" t="s">
        <v>160</v>
      </c>
      <c r="H49" s="276">
        <f>SUM(H43:H48)</f>
        <v>132139</v>
      </c>
      <c r="I49" s="276">
        <f t="shared" ref="I49" si="7">SUM(I43:I48)</f>
        <v>2239.44</v>
      </c>
      <c r="J49" s="276">
        <f>SUM(J43:J48)</f>
        <v>74262.720000000001</v>
      </c>
    </row>
    <row r="50" spans="7:10" ht="15.75" thickTop="1" x14ac:dyDescent="0.25"/>
  </sheetData>
  <sheetProtection sheet="1" objects="1" scenarios="1"/>
  <mergeCells count="25">
    <mergeCell ref="J41:J42"/>
    <mergeCell ref="H40:I40"/>
    <mergeCell ref="H41:H42"/>
    <mergeCell ref="I41:I42"/>
    <mergeCell ref="A19:A20"/>
    <mergeCell ref="B19:B20"/>
    <mergeCell ref="C19:C20"/>
    <mergeCell ref="D18:D20"/>
    <mergeCell ref="E18:E20"/>
    <mergeCell ref="H16:I16"/>
    <mergeCell ref="H17:H18"/>
    <mergeCell ref="I17:I18"/>
    <mergeCell ref="H28:I28"/>
    <mergeCell ref="H29:H30"/>
    <mergeCell ref="I29:I30"/>
    <mergeCell ref="F6:F7"/>
    <mergeCell ref="G6:G7"/>
    <mergeCell ref="H6:H7"/>
    <mergeCell ref="I6:I7"/>
    <mergeCell ref="H5:I5"/>
    <mergeCell ref="C6:C7"/>
    <mergeCell ref="A6:A7"/>
    <mergeCell ref="B6:B7"/>
    <mergeCell ref="D6:D7"/>
    <mergeCell ref="E6:E7"/>
  </mergeCells>
  <pageMargins left="0.25" right="0.25" top="0.75" bottom="0.75" header="0.3" footer="0.3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Q91"/>
  <sheetViews>
    <sheetView topLeftCell="A79" zoomScaleNormal="100" workbookViewId="0">
      <selection activeCell="I44" sqref="I44"/>
    </sheetView>
  </sheetViews>
  <sheetFormatPr defaultRowHeight="15" x14ac:dyDescent="0.25"/>
  <cols>
    <col min="2" max="2" width="14" customWidth="1"/>
    <col min="3" max="3" width="13.42578125" customWidth="1"/>
    <col min="4" max="4" width="13.85546875" customWidth="1"/>
    <col min="5" max="5" width="13.7109375" customWidth="1"/>
    <col min="8" max="8" width="12.140625" customWidth="1"/>
    <col min="9" max="9" width="11.140625" customWidth="1"/>
    <col min="10" max="10" width="11.85546875" customWidth="1"/>
    <col min="11" max="11" width="13.28515625" customWidth="1"/>
    <col min="12" max="12" width="10.140625" customWidth="1"/>
  </cols>
  <sheetData>
    <row r="1" spans="1:9" ht="18.75" x14ac:dyDescent="0.3">
      <c r="A1" s="211" t="s">
        <v>270</v>
      </c>
      <c r="B1" s="212"/>
      <c r="C1" s="212"/>
    </row>
    <row r="2" spans="1:9" x14ac:dyDescent="0.25">
      <c r="A2" t="s">
        <v>271</v>
      </c>
    </row>
    <row r="3" spans="1:9" x14ac:dyDescent="0.25">
      <c r="A3" s="26" t="s">
        <v>338</v>
      </c>
    </row>
    <row r="4" spans="1:9" x14ac:dyDescent="0.25">
      <c r="B4" t="s">
        <v>315</v>
      </c>
      <c r="I4" t="s">
        <v>269</v>
      </c>
    </row>
    <row r="5" spans="1:9" x14ac:dyDescent="0.25">
      <c r="I5" t="s">
        <v>268</v>
      </c>
    </row>
    <row r="19" spans="1:17" x14ac:dyDescent="0.25">
      <c r="H19" s="26" t="s">
        <v>154</v>
      </c>
    </row>
    <row r="20" spans="1:17" ht="15.75" customHeight="1" x14ac:dyDescent="0.25">
      <c r="H20" s="127" t="s">
        <v>156</v>
      </c>
    </row>
    <row r="21" spans="1:17" ht="15" customHeight="1" x14ac:dyDescent="0.25">
      <c r="H21" s="127" t="s">
        <v>155</v>
      </c>
    </row>
    <row r="23" spans="1:17" ht="15.75" thickBot="1" x14ac:dyDescent="0.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7" ht="15.75" thickTop="1" x14ac:dyDescent="0.25">
      <c r="A24" s="129"/>
    </row>
    <row r="25" spans="1:17" ht="15.75" thickBot="1" x14ac:dyDescent="0.3">
      <c r="A25" s="129" t="s">
        <v>384</v>
      </c>
      <c r="E25" s="121">
        <v>12</v>
      </c>
      <c r="F25" t="s">
        <v>385</v>
      </c>
      <c r="K25" s="191"/>
    </row>
    <row r="26" spans="1:17" ht="15.75" thickBot="1" x14ac:dyDescent="0.3">
      <c r="A26" t="s">
        <v>181</v>
      </c>
      <c r="D26" s="132"/>
      <c r="E26" s="133"/>
      <c r="F26" s="134"/>
      <c r="G26" s="134"/>
      <c r="H26" s="75"/>
      <c r="J26" s="445" t="s">
        <v>303</v>
      </c>
      <c r="K26" s="192"/>
    </row>
    <row r="27" spans="1:17" ht="15" customHeight="1" x14ac:dyDescent="0.25">
      <c r="A27" s="130" t="s">
        <v>162</v>
      </c>
      <c r="D27" s="447" t="s">
        <v>293</v>
      </c>
      <c r="E27" s="447" t="s">
        <v>300</v>
      </c>
      <c r="F27" s="447" t="s">
        <v>301</v>
      </c>
      <c r="G27" s="443" t="s">
        <v>292</v>
      </c>
      <c r="H27" s="443" t="s">
        <v>299</v>
      </c>
      <c r="I27" s="445" t="s">
        <v>302</v>
      </c>
      <c r="J27" s="446"/>
      <c r="K27" s="52" t="s">
        <v>295</v>
      </c>
      <c r="L27" s="184" t="s">
        <v>298</v>
      </c>
      <c r="M27" s="185"/>
      <c r="N27" s="186"/>
    </row>
    <row r="28" spans="1:17" ht="15.75" thickBot="1" x14ac:dyDescent="0.3">
      <c r="A28" s="131" t="s">
        <v>161</v>
      </c>
      <c r="D28" s="448"/>
      <c r="E28" s="448"/>
      <c r="F28" s="448"/>
      <c r="G28" s="449"/>
      <c r="H28" s="444"/>
      <c r="I28" s="446"/>
      <c r="J28" s="446"/>
      <c r="L28" s="187" t="s">
        <v>296</v>
      </c>
      <c r="M28" s="6"/>
      <c r="N28" s="188"/>
    </row>
    <row r="29" spans="1:17" ht="15.75" thickBot="1" x14ac:dyDescent="0.3">
      <c r="A29" s="440" t="s">
        <v>294</v>
      </c>
      <c r="B29" s="441"/>
      <c r="C29" s="442"/>
      <c r="D29" s="210">
        <f>DeepBP_Facility!E28</f>
        <v>1250</v>
      </c>
      <c r="E29" s="210">
        <f>D29/9</f>
        <v>138.88888888888889</v>
      </c>
      <c r="F29" s="121">
        <v>420</v>
      </c>
      <c r="G29" s="121">
        <v>5</v>
      </c>
      <c r="H29" s="170">
        <f>IFERROR(E29*((E25*1.2/12)/3),0)</f>
        <v>55.55555555555555</v>
      </c>
      <c r="I29" s="171">
        <f>H29*G29</f>
        <v>277.77777777777777</v>
      </c>
      <c r="J29" s="279">
        <f>H29*F29</f>
        <v>23333.333333333332</v>
      </c>
      <c r="L29" s="189" t="s">
        <v>297</v>
      </c>
      <c r="M29" s="175"/>
      <c r="N29" s="190"/>
    </row>
    <row r="30" spans="1:17" ht="15.75" thickBot="1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7" ht="16.5" thickTop="1" thickBot="1" x14ac:dyDescent="0.3"/>
    <row r="32" spans="1:17" ht="15" customHeight="1" thickTop="1" x14ac:dyDescent="0.25">
      <c r="B32" s="75" t="s">
        <v>153</v>
      </c>
      <c r="L32" s="137"/>
      <c r="M32" s="126" t="s">
        <v>236</v>
      </c>
      <c r="N32" s="156" t="s">
        <v>188</v>
      </c>
      <c r="O32" s="62"/>
      <c r="P32" s="151"/>
      <c r="Q32" s="63"/>
    </row>
    <row r="33" spans="1:17" x14ac:dyDescent="0.25">
      <c r="C33" s="26" t="s">
        <v>183</v>
      </c>
      <c r="F33" s="136"/>
      <c r="L33" s="137"/>
      <c r="N33" s="155"/>
      <c r="O33" s="153" t="s">
        <v>67</v>
      </c>
      <c r="P33" s="6"/>
      <c r="Q33" s="67"/>
    </row>
    <row r="34" spans="1:17" ht="15" customHeight="1" x14ac:dyDescent="0.25">
      <c r="C34" s="438" t="s">
        <v>158</v>
      </c>
      <c r="D34" s="439"/>
      <c r="E34" s="123" t="s">
        <v>170</v>
      </c>
      <c r="F34" s="450" t="s">
        <v>171</v>
      </c>
      <c r="G34" s="451"/>
      <c r="H34" s="452"/>
      <c r="I34" s="459" t="s">
        <v>172</v>
      </c>
      <c r="J34" s="460"/>
      <c r="L34" s="137"/>
      <c r="N34" s="152"/>
      <c r="O34" s="153" t="s">
        <v>187</v>
      </c>
      <c r="P34" s="134"/>
      <c r="Q34" s="67"/>
    </row>
    <row r="35" spans="1:17" ht="15.75" thickBot="1" x14ac:dyDescent="0.3">
      <c r="F35" s="453"/>
      <c r="G35" s="454"/>
      <c r="H35" s="455"/>
      <c r="I35" s="461"/>
      <c r="J35" s="462"/>
      <c r="N35" s="154"/>
      <c r="O35" s="72" t="s">
        <v>237</v>
      </c>
      <c r="P35" s="72"/>
      <c r="Q35" s="73"/>
    </row>
    <row r="36" spans="1:17" ht="15.75" thickTop="1" x14ac:dyDescent="0.25">
      <c r="F36" s="453"/>
      <c r="G36" s="454"/>
      <c r="H36" s="455"/>
      <c r="I36" s="461"/>
      <c r="J36" s="462"/>
      <c r="M36" s="126" t="s">
        <v>238</v>
      </c>
      <c r="N36" s="76"/>
      <c r="O36" s="74"/>
      <c r="P36" s="75"/>
    </row>
    <row r="37" spans="1:17" x14ac:dyDescent="0.25">
      <c r="F37" s="456"/>
      <c r="G37" s="457"/>
      <c r="H37" s="458"/>
      <c r="I37" s="463"/>
      <c r="J37" s="464"/>
      <c r="N37" s="205"/>
      <c r="O37" s="74" t="s">
        <v>332</v>
      </c>
    </row>
    <row r="38" spans="1:17" x14ac:dyDescent="0.25">
      <c r="A38" t="s">
        <v>164</v>
      </c>
      <c r="N38" s="77"/>
      <c r="O38" s="74" t="s">
        <v>333</v>
      </c>
      <c r="P38" s="75"/>
    </row>
    <row r="39" spans="1:17" ht="15.75" customHeight="1" thickBot="1" x14ac:dyDescent="0.3">
      <c r="A39" s="26" t="s">
        <v>165</v>
      </c>
      <c r="N39" s="167" t="s">
        <v>334</v>
      </c>
    </row>
    <row r="40" spans="1:17" ht="15" customHeight="1" thickTop="1" thickBot="1" x14ac:dyDescent="0.3">
      <c r="A40" s="470" t="s">
        <v>166</v>
      </c>
      <c r="B40" s="470"/>
      <c r="C40" s="473" t="s">
        <v>343</v>
      </c>
      <c r="D40" s="473" t="s">
        <v>344</v>
      </c>
      <c r="E40" s="470" t="s">
        <v>342</v>
      </c>
      <c r="F40" s="481" t="s">
        <v>355</v>
      </c>
      <c r="G40" s="470" t="s">
        <v>349</v>
      </c>
      <c r="H40" s="470" t="s">
        <v>352</v>
      </c>
      <c r="I40" s="478" t="s">
        <v>353</v>
      </c>
      <c r="J40" s="465" t="s">
        <v>167</v>
      </c>
      <c r="K40" s="465" t="s">
        <v>351</v>
      </c>
      <c r="L40" s="465" t="s">
        <v>350</v>
      </c>
      <c r="N40" s="169"/>
      <c r="O40" s="74" t="s">
        <v>335</v>
      </c>
    </row>
    <row r="41" spans="1:17" ht="45" customHeight="1" thickTop="1" thickBot="1" x14ac:dyDescent="0.3">
      <c r="A41" s="471"/>
      <c r="B41" s="471"/>
      <c r="C41" s="474"/>
      <c r="D41" s="474"/>
      <c r="E41" s="476"/>
      <c r="F41" s="482"/>
      <c r="G41" s="471"/>
      <c r="H41" s="471"/>
      <c r="I41" s="479"/>
      <c r="J41" s="466"/>
      <c r="K41" s="466"/>
      <c r="L41" s="466"/>
    </row>
    <row r="42" spans="1:17" ht="8.25" customHeight="1" thickTop="1" thickBot="1" x14ac:dyDescent="0.3">
      <c r="A42" s="472"/>
      <c r="B42" s="472"/>
      <c r="C42" s="475"/>
      <c r="D42" s="475"/>
      <c r="E42" s="477"/>
      <c r="F42" s="483"/>
      <c r="G42" s="472"/>
      <c r="H42" s="472"/>
      <c r="I42" s="480"/>
      <c r="J42" s="467"/>
      <c r="K42" s="467"/>
      <c r="L42" s="467"/>
    </row>
    <row r="43" spans="1:17" ht="15.75" thickTop="1" x14ac:dyDescent="0.25">
      <c r="A43" s="468" t="s">
        <v>320</v>
      </c>
      <c r="B43" s="469"/>
      <c r="C43" s="345">
        <f>IFERROR(INDEX(RefTable!$B$51:$B$58,MATCH(A43,RefTable!$A$51:$A$58,0),0),"")</f>
        <v>10</v>
      </c>
      <c r="D43" s="345">
        <f>IFERROR(INDEX(RefTable!$C$51:$C$58,MATCH(A43,RefTable!$A$51:$A$58,0),0),"")</f>
        <v>30</v>
      </c>
      <c r="E43" s="213" t="s">
        <v>493</v>
      </c>
      <c r="F43" s="222">
        <f>IFERROR(INDEX(RefTable!$B$62:$B$73,MATCH(E43,RefTable!$D$62:$D$73,0),0),"")</f>
        <v>3</v>
      </c>
      <c r="G43" s="285">
        <f>IFERROR(INDEX(RefTable!$C$62:$C$73,MATCH(E43,RefTable!$D$62:$D$73,0),0),"")</f>
        <v>850</v>
      </c>
      <c r="H43" s="224">
        <v>35</v>
      </c>
      <c r="I43" s="121">
        <v>5</v>
      </c>
      <c r="J43" s="223">
        <f>IFERROR(I43*H43,"0")</f>
        <v>175</v>
      </c>
      <c r="K43" s="279">
        <f>IFERROR(I43*G43,"0")</f>
        <v>4250</v>
      </c>
      <c r="L43" s="279">
        <f t="shared" ref="L43:L50" si="0">IFERROR(K43*C43/100,"0")</f>
        <v>425</v>
      </c>
    </row>
    <row r="44" spans="1:17" x14ac:dyDescent="0.25">
      <c r="A44" s="468"/>
      <c r="B44" s="469"/>
      <c r="C44" s="345" t="str">
        <f>IFERROR(INDEX(RefTable!$B$51:$B$58,MATCH(A44,RefTable!$A$51:$A$58,0),0),"")</f>
        <v/>
      </c>
      <c r="D44" s="345" t="str">
        <f>IFERROR(INDEX(RefTable!$C$51:$C$58,MATCH(A44,RefTable!$A$51:$A$58,0),0),"")</f>
        <v/>
      </c>
      <c r="E44" s="265"/>
      <c r="F44" s="222" t="str">
        <f>IFERROR(INDEX(RefTable!$B$62:$B$73,MATCH(E44,RefTable!$D$62:$D$73,0),0),"")</f>
        <v/>
      </c>
      <c r="G44" s="285" t="str">
        <f>IFERROR(INDEX(RefTable!$C$62:$C$73,MATCH(E44,RefTable!$D$62:$D$73,0),0),"")</f>
        <v/>
      </c>
      <c r="H44" s="224" t="str">
        <f>IFERROR(INDEX(RefTable!$E$62:$E$73,MATCH(E44,RefTable!$D$62:$D$73,0),0),"")</f>
        <v/>
      </c>
      <c r="I44" s="121"/>
      <c r="J44" s="223" t="str">
        <f>IFERROR(I44*H44,"0")</f>
        <v>0</v>
      </c>
      <c r="K44" s="279" t="str">
        <f>IFERROR(I44*G44,"0")</f>
        <v>0</v>
      </c>
      <c r="L44" s="279" t="str">
        <f t="shared" si="0"/>
        <v>0</v>
      </c>
    </row>
    <row r="45" spans="1:17" x14ac:dyDescent="0.25">
      <c r="A45" s="468"/>
      <c r="B45" s="469"/>
      <c r="C45" s="345" t="str">
        <f>IFERROR(INDEX(RefTable!$B$51:$B$58,MATCH(A45,RefTable!$A$51:$A$58,0),0),"")</f>
        <v/>
      </c>
      <c r="D45" s="345" t="str">
        <f>IFERROR(INDEX(RefTable!$C$51:$C$58,MATCH(A45,RefTable!$A$51:$A$58,0),0),"")</f>
        <v/>
      </c>
      <c r="E45" s="265"/>
      <c r="F45" s="222" t="str">
        <f>IFERROR(INDEX(RefTable!$B$62:$B$73,MATCH(E45,RefTable!$D$62:$D$73,0),0),"")</f>
        <v/>
      </c>
      <c r="G45" s="285" t="str">
        <f>IFERROR(INDEX(RefTable!$C$62:$C$73,MATCH(E45,RefTable!$D$62:$D$73,0),0),"")</f>
        <v/>
      </c>
      <c r="H45" s="224" t="str">
        <f>IFERROR(INDEX(RefTable!$E$62:$E$73,MATCH(E45,RefTable!$D$62:$D$73,0),0),"")</f>
        <v/>
      </c>
      <c r="I45" s="121"/>
      <c r="J45" s="223" t="str">
        <f t="shared" ref="J45:J50" si="1">IFERROR(I45*H45,"0")</f>
        <v>0</v>
      </c>
      <c r="K45" s="279" t="str">
        <f t="shared" ref="K45:K50" si="2">IFERROR(I45*G45,"0")</f>
        <v>0</v>
      </c>
      <c r="L45" s="279" t="str">
        <f t="shared" si="0"/>
        <v>0</v>
      </c>
    </row>
    <row r="46" spans="1:17" x14ac:dyDescent="0.25">
      <c r="A46" s="468"/>
      <c r="B46" s="469"/>
      <c r="C46" s="345" t="str">
        <f>IFERROR(INDEX(RefTable!$B$51:$B$58,MATCH(A46,RefTable!$A$51:$A$58,0),0),"")</f>
        <v/>
      </c>
      <c r="D46" s="345" t="str">
        <f>IFERROR(INDEX(RefTable!$C$51:$C$58,MATCH(A46,RefTable!$A$51:$A$58,0),0),"")</f>
        <v/>
      </c>
      <c r="E46" s="265"/>
      <c r="F46" s="222" t="str">
        <f>IFERROR(INDEX(RefTable!$B$62:$B$73,MATCH(E46,RefTable!$D$62:$D$73,0),0),"")</f>
        <v/>
      </c>
      <c r="G46" s="285" t="str">
        <f>IFERROR(INDEX(RefTable!$C$62:$C$73,MATCH(E46,RefTable!$D$62:$D$73,0),0),"")</f>
        <v/>
      </c>
      <c r="H46" s="224" t="str">
        <f>IFERROR(INDEX(RefTable!$E$62:$E$73,MATCH(E46,RefTable!$D$62:$D$73,0),0),"")</f>
        <v/>
      </c>
      <c r="I46" s="121"/>
      <c r="J46" s="223" t="str">
        <f t="shared" si="1"/>
        <v>0</v>
      </c>
      <c r="K46" s="279" t="str">
        <f t="shared" si="2"/>
        <v>0</v>
      </c>
      <c r="L46" s="279" t="str">
        <f t="shared" si="0"/>
        <v>0</v>
      </c>
    </row>
    <row r="47" spans="1:17" x14ac:dyDescent="0.25">
      <c r="A47" s="468"/>
      <c r="B47" s="469"/>
      <c r="C47" s="345" t="str">
        <f>IFERROR(INDEX(RefTable!$B$51:$B$58,MATCH(A47,RefTable!$A$51:$A$58,0),0),"")</f>
        <v/>
      </c>
      <c r="D47" s="345" t="str">
        <f>IFERROR(INDEX(RefTable!$C$51:$C$58,MATCH(A47,RefTable!$A$51:$A$58,0),0),"")</f>
        <v/>
      </c>
      <c r="E47" s="265"/>
      <c r="F47" s="222" t="str">
        <f>IFERROR(INDEX(RefTable!$B$62:$B$73,MATCH(E47,RefTable!$D$62:$D$73,0),0),"")</f>
        <v/>
      </c>
      <c r="G47" s="285" t="str">
        <f>IFERROR(INDEX(RefTable!$C$62:$C$73,MATCH(E47,RefTable!$D$62:$D$73,0),0),"")</f>
        <v/>
      </c>
      <c r="H47" s="224" t="str">
        <f>IFERROR(INDEX(RefTable!$E$62:$E$73,MATCH(E47,RefTable!$D$62:$D$73,0),0),"")</f>
        <v/>
      </c>
      <c r="I47" s="121"/>
      <c r="J47" s="223" t="str">
        <f t="shared" si="1"/>
        <v>0</v>
      </c>
      <c r="K47" s="279" t="str">
        <f t="shared" si="2"/>
        <v>0</v>
      </c>
      <c r="L47" s="279" t="str">
        <f t="shared" si="0"/>
        <v>0</v>
      </c>
    </row>
    <row r="48" spans="1:17" x14ac:dyDescent="0.25">
      <c r="A48" s="468"/>
      <c r="B48" s="469"/>
      <c r="C48" s="345" t="str">
        <f>IFERROR(INDEX(RefTable!$B$51:$B$58,MATCH(A48,RefTable!$A$51:$A$58,0),0),"")</f>
        <v/>
      </c>
      <c r="D48" s="345" t="str">
        <f>IFERROR(INDEX(RefTable!$C$51:$C$58,MATCH(A48,RefTable!$A$51:$A$58,0),0),"")</f>
        <v/>
      </c>
      <c r="E48" s="265"/>
      <c r="F48" s="222" t="str">
        <f>IFERROR(INDEX(RefTable!$B$62:$B$73,MATCH(E48,RefTable!$D$62:$D$73,0),0),"")</f>
        <v/>
      </c>
      <c r="G48" s="285" t="str">
        <f>IFERROR(INDEX(RefTable!$C$62:$C$73,MATCH(E48,RefTable!$D$62:$D$73,0),0),"")</f>
        <v/>
      </c>
      <c r="H48" s="224" t="str">
        <f>IFERROR(INDEX(RefTable!$E$62:$E$73,MATCH(E48,RefTable!$D$62:$D$73,0),0),"")</f>
        <v/>
      </c>
      <c r="I48" s="121"/>
      <c r="J48" s="223" t="str">
        <f t="shared" si="1"/>
        <v>0</v>
      </c>
      <c r="K48" s="279" t="str">
        <f t="shared" si="2"/>
        <v>0</v>
      </c>
      <c r="L48" s="279" t="str">
        <f t="shared" si="0"/>
        <v>0</v>
      </c>
    </row>
    <row r="49" spans="1:12" x14ac:dyDescent="0.25">
      <c r="A49" s="468"/>
      <c r="B49" s="469"/>
      <c r="C49" s="345" t="str">
        <f>IFERROR(INDEX(RefTable!$B$51:$B$58,MATCH(A49,RefTable!$A$51:$A$58,0),0),"")</f>
        <v/>
      </c>
      <c r="D49" s="345" t="str">
        <f>IFERROR(INDEX(RefTable!$C$51:$C$58,MATCH(A49,RefTable!$A$51:$A$58,0),0),"")</f>
        <v/>
      </c>
      <c r="E49" s="265"/>
      <c r="F49" s="222" t="str">
        <f>IFERROR(INDEX(RefTable!$B$62:$B$73,MATCH(E49,RefTable!$D$62:$D$73,0),0),"")</f>
        <v/>
      </c>
      <c r="G49" s="285" t="str">
        <f>IFERROR(INDEX(RefTable!$C$62:$C$73,MATCH(E49,RefTable!$D$62:$D$73,0),0),"")</f>
        <v/>
      </c>
      <c r="H49" s="224" t="str">
        <f>IFERROR(INDEX(RefTable!$E$62:$E$73,MATCH(E49,RefTable!$D$62:$D$73,0),0),"")</f>
        <v/>
      </c>
      <c r="I49" s="121"/>
      <c r="J49" s="223" t="str">
        <f t="shared" si="1"/>
        <v>0</v>
      </c>
      <c r="K49" s="279" t="str">
        <f t="shared" si="2"/>
        <v>0</v>
      </c>
      <c r="L49" s="279" t="str">
        <f t="shared" si="0"/>
        <v>0</v>
      </c>
    </row>
    <row r="50" spans="1:12" ht="15.75" thickBot="1" x14ac:dyDescent="0.3">
      <c r="A50" s="468"/>
      <c r="B50" s="469"/>
      <c r="C50" s="345" t="str">
        <f>IFERROR(INDEX(RefTable!$B$51:$B$58,MATCH(A50,RefTable!$A$51:$A$58,0),0),"")</f>
        <v/>
      </c>
      <c r="D50" s="345" t="str">
        <f>IFERROR(INDEX(RefTable!$C$51:$C$58,MATCH(A50,RefTable!$A$51:$A$58,0),0),"")</f>
        <v/>
      </c>
      <c r="E50" s="265"/>
      <c r="F50" s="222" t="str">
        <f>IFERROR(INDEX(RefTable!$B$62:$B$73,MATCH(E50,RefTable!$D$62:$D$73,0),0),"")</f>
        <v/>
      </c>
      <c r="G50" s="285" t="str">
        <f>IFERROR(INDEX(RefTable!$C$62:$C$73,MATCH(E50,RefTable!$D$62:$D$73,0),0),"")</f>
        <v/>
      </c>
      <c r="H50" s="224" t="str">
        <f>IFERROR(INDEX(RefTable!$E$62:$E$73,MATCH(E50,RefTable!$D$62:$D$73,0),0),"")</f>
        <v/>
      </c>
      <c r="I50" s="121"/>
      <c r="J50" s="223" t="str">
        <f t="shared" si="1"/>
        <v>0</v>
      </c>
      <c r="K50" s="279" t="str">
        <f t="shared" si="2"/>
        <v>0</v>
      </c>
      <c r="L50" s="279" t="str">
        <f t="shared" si="0"/>
        <v>0</v>
      </c>
    </row>
    <row r="51" spans="1:12" ht="16.5" thickTop="1" thickBot="1" x14ac:dyDescent="0.3">
      <c r="D51" s="225" t="s">
        <v>376</v>
      </c>
      <c r="I51" s="126" t="s">
        <v>168</v>
      </c>
      <c r="J51" s="172">
        <f>SUM(J43:J50)</f>
        <v>175</v>
      </c>
      <c r="K51" s="276">
        <f>SUM(K43:K50)</f>
        <v>4250</v>
      </c>
      <c r="L51" s="276">
        <f>SUM(L43:L50)</f>
        <v>425</v>
      </c>
    </row>
    <row r="52" spans="1:12" ht="15.75" thickTop="1" x14ac:dyDescent="0.25">
      <c r="D52" s="304">
        <f>IFERROR((SUMPRODUCT(D43:D50,K43:K50))/K51,0)</f>
        <v>30</v>
      </c>
    </row>
    <row r="53" spans="1:12" x14ac:dyDescent="0.25">
      <c r="D53" s="245"/>
    </row>
    <row r="54" spans="1:12" ht="15.75" x14ac:dyDescent="0.25">
      <c r="C54" s="135" t="s">
        <v>169</v>
      </c>
    </row>
    <row r="58" spans="1:12" x14ac:dyDescent="0.25">
      <c r="K58" s="242"/>
    </row>
    <row r="59" spans="1:12" x14ac:dyDescent="0.25">
      <c r="I59" s="138" t="s">
        <v>339</v>
      </c>
      <c r="J59" s="295">
        <f>DeepBP_Facility!H49</f>
        <v>132139</v>
      </c>
    </row>
    <row r="60" spans="1:12" x14ac:dyDescent="0.25">
      <c r="I60" s="138" t="s">
        <v>174</v>
      </c>
      <c r="J60" s="295">
        <f>DeepBP_Facility!J49</f>
        <v>74262.720000000001</v>
      </c>
    </row>
    <row r="61" spans="1:12" x14ac:dyDescent="0.25">
      <c r="J61" s="296"/>
    </row>
    <row r="62" spans="1:12" x14ac:dyDescent="0.25">
      <c r="I62" s="52" t="s">
        <v>340</v>
      </c>
      <c r="J62" s="295">
        <f>K51</f>
        <v>4250</v>
      </c>
    </row>
    <row r="63" spans="1:12" x14ac:dyDescent="0.25">
      <c r="I63" s="52" t="s">
        <v>341</v>
      </c>
      <c r="J63" s="295">
        <f>L51</f>
        <v>425</v>
      </c>
    </row>
    <row r="65" spans="1:12" ht="15.75" thickBot="1" x14ac:dyDescent="0.3"/>
    <row r="66" spans="1:12" ht="16.5" thickTop="1" thickBot="1" x14ac:dyDescent="0.3">
      <c r="A66" s="139" t="s">
        <v>177</v>
      </c>
      <c r="B66" s="140"/>
      <c r="C66" s="57"/>
      <c r="D66" s="139" t="s">
        <v>178</v>
      </c>
      <c r="H66" s="173">
        <f t="array" ref="H66">IF(ISERR(((J60+J63)/(J59+J62))*100),"",(((J60+J63)/(J59+J62))*100))</f>
        <v>54.760809156163624</v>
      </c>
      <c r="I66" s="26" t="s">
        <v>179</v>
      </c>
    </row>
    <row r="67" spans="1:12" ht="15.75" thickTop="1" x14ac:dyDescent="0.25">
      <c r="G67" s="52" t="s">
        <v>189</v>
      </c>
      <c r="H67" s="141" t="str">
        <f>IF(H66&lt;=63.01,"Bedding Quantity OK","More Bedding Is Needed!")</f>
        <v>Bedding Quantity OK</v>
      </c>
    </row>
    <row r="68" spans="1:12" ht="15.75" thickBot="1" x14ac:dyDescent="0.3"/>
    <row r="69" spans="1:12" ht="16.5" thickTop="1" thickBot="1" x14ac:dyDescent="0.3">
      <c r="J69" s="126" t="s">
        <v>180</v>
      </c>
      <c r="K69" s="172">
        <f>I29+J51</f>
        <v>452.77777777777777</v>
      </c>
    </row>
    <row r="70" spans="1:12" ht="15.75" thickTop="1" x14ac:dyDescent="0.25"/>
    <row r="71" spans="1:12" x14ac:dyDescent="0.25">
      <c r="D71" s="26" t="s">
        <v>363</v>
      </c>
      <c r="K71" s="225"/>
      <c r="L71" s="225"/>
    </row>
    <row r="72" spans="1:12" x14ac:dyDescent="0.25">
      <c r="E72" t="s">
        <v>365</v>
      </c>
      <c r="K72" s="243"/>
    </row>
    <row r="73" spans="1:12" ht="15.75" thickBot="1" x14ac:dyDescent="0.3">
      <c r="H73" t="s">
        <v>389</v>
      </c>
    </row>
    <row r="74" spans="1:12" ht="15.75" thickBot="1" x14ac:dyDescent="0.3">
      <c r="H74" s="244"/>
      <c r="I74" s="226" t="s">
        <v>364</v>
      </c>
      <c r="J74" s="227"/>
    </row>
    <row r="75" spans="1:12" ht="15.75" thickBot="1" x14ac:dyDescent="0.3">
      <c r="C75" t="s">
        <v>366</v>
      </c>
      <c r="F75" s="297">
        <f>J59-J60</f>
        <v>57876.28</v>
      </c>
      <c r="H75" s="365" t="s">
        <v>368</v>
      </c>
      <c r="I75" s="366"/>
      <c r="J75" s="367"/>
    </row>
    <row r="76" spans="1:12" ht="16.5" thickTop="1" thickBot="1" x14ac:dyDescent="0.3">
      <c r="C76" t="s">
        <v>372</v>
      </c>
      <c r="D76" t="s">
        <v>373</v>
      </c>
      <c r="F76" s="298">
        <f>F75*46.8/100</f>
        <v>27086.099039999997</v>
      </c>
      <c r="H76" s="365" t="s">
        <v>369</v>
      </c>
      <c r="I76" s="366"/>
      <c r="J76" s="367"/>
    </row>
    <row r="77" spans="1:12" ht="15.75" thickBot="1" x14ac:dyDescent="0.3">
      <c r="D77" t="s">
        <v>374</v>
      </c>
      <c r="F77" s="299">
        <f>F75*2.6/100</f>
        <v>1504.7832800000001</v>
      </c>
      <c r="H77" s="484" t="s">
        <v>367</v>
      </c>
      <c r="I77" s="485"/>
      <c r="J77" s="486"/>
    </row>
    <row r="78" spans="1:12" ht="16.5" thickTop="1" thickBot="1" x14ac:dyDescent="0.3">
      <c r="F78" s="296"/>
    </row>
    <row r="79" spans="1:12" ht="15.75" thickBot="1" x14ac:dyDescent="0.3">
      <c r="C79" t="s">
        <v>375</v>
      </c>
      <c r="F79" s="297">
        <f>J62-J63</f>
        <v>3825</v>
      </c>
      <c r="H79" t="s">
        <v>388</v>
      </c>
    </row>
    <row r="80" spans="1:12" ht="16.5" thickTop="1" thickBot="1" x14ac:dyDescent="0.3">
      <c r="C80" t="s">
        <v>371</v>
      </c>
      <c r="D80" t="s">
        <v>373</v>
      </c>
      <c r="F80" s="298">
        <f>J81*F79/100</f>
        <v>1147.5</v>
      </c>
      <c r="H80" s="244" t="s">
        <v>377</v>
      </c>
      <c r="I80" s="2"/>
      <c r="J80" s="246">
        <f>D52</f>
        <v>30</v>
      </c>
    </row>
    <row r="81" spans="2:14" ht="15.75" thickBot="1" x14ac:dyDescent="0.3">
      <c r="D81" t="s">
        <v>374</v>
      </c>
      <c r="F81" s="299">
        <f>F79*1/100</f>
        <v>38.25</v>
      </c>
      <c r="H81" s="231" t="s">
        <v>379</v>
      </c>
      <c r="I81" s="6"/>
      <c r="J81" s="248">
        <f>J80*1</f>
        <v>30</v>
      </c>
    </row>
    <row r="82" spans="2:14" ht="16.5" thickTop="1" thickBot="1" x14ac:dyDescent="0.3">
      <c r="H82" s="231" t="s">
        <v>378</v>
      </c>
      <c r="I82" s="6"/>
      <c r="J82" s="233"/>
    </row>
    <row r="83" spans="2:14" ht="15.75" thickBot="1" x14ac:dyDescent="0.3">
      <c r="D83" s="250" t="s">
        <v>380</v>
      </c>
      <c r="E83" s="247"/>
      <c r="F83" s="249">
        <f>IFERROR((F76+F80)/(F77+F81),0)</f>
        <v>18.297466040395445</v>
      </c>
      <c r="G83" s="26" t="s">
        <v>381</v>
      </c>
      <c r="H83" s="484" t="s">
        <v>367</v>
      </c>
      <c r="I83" s="485"/>
      <c r="J83" s="486"/>
    </row>
    <row r="85" spans="2:14" ht="15.75" thickBot="1" x14ac:dyDescent="0.3">
      <c r="H85" t="s">
        <v>370</v>
      </c>
    </row>
    <row r="86" spans="2:14" ht="15.75" thickTop="1" x14ac:dyDescent="0.25">
      <c r="B86" s="253" t="s">
        <v>362</v>
      </c>
      <c r="C86" s="62"/>
      <c r="D86" s="62"/>
      <c r="E86" s="62"/>
      <c r="F86" s="62"/>
      <c r="G86" s="62"/>
      <c r="H86" s="62"/>
      <c r="I86" s="63"/>
      <c r="J86" s="6"/>
      <c r="K86" s="6"/>
      <c r="L86" s="6"/>
      <c r="M86" s="6"/>
      <c r="N86" s="6"/>
    </row>
    <row r="87" spans="2:14" x14ac:dyDescent="0.25">
      <c r="B87" s="64" t="s">
        <v>382</v>
      </c>
      <c r="C87" s="6"/>
      <c r="D87" s="6"/>
      <c r="E87" s="6"/>
      <c r="F87" s="6"/>
      <c r="G87" s="6"/>
      <c r="H87" s="6"/>
      <c r="I87" s="67"/>
      <c r="J87" s="6"/>
      <c r="K87" s="6"/>
      <c r="L87" s="6"/>
      <c r="M87" s="6"/>
      <c r="N87" s="6"/>
    </row>
    <row r="88" spans="2:14" ht="15.75" thickBot="1" x14ac:dyDescent="0.3">
      <c r="B88" s="154" t="s">
        <v>383</v>
      </c>
      <c r="C88" s="72"/>
      <c r="D88" s="72"/>
      <c r="E88" s="72"/>
      <c r="F88" s="72"/>
      <c r="G88" s="72"/>
      <c r="H88" s="72"/>
      <c r="I88" s="73"/>
      <c r="J88" s="6"/>
      <c r="K88" s="6"/>
      <c r="L88" s="6"/>
      <c r="M88" s="6"/>
      <c r="N88" s="6"/>
    </row>
    <row r="89" spans="2:14" ht="15.75" thickTop="1" x14ac:dyDescent="0.25">
      <c r="B89" s="26" t="s">
        <v>386</v>
      </c>
    </row>
    <row r="90" spans="2:14" x14ac:dyDescent="0.25">
      <c r="B90" s="26" t="s">
        <v>387</v>
      </c>
    </row>
    <row r="91" spans="2:14" x14ac:dyDescent="0.25">
      <c r="B91" s="26" t="s">
        <v>429</v>
      </c>
    </row>
  </sheetData>
  <sheetProtection sheet="1" objects="1" scenarios="1"/>
  <mergeCells count="34">
    <mergeCell ref="H77:J77"/>
    <mergeCell ref="H83:J83"/>
    <mergeCell ref="H76:J76"/>
    <mergeCell ref="H75:J75"/>
    <mergeCell ref="A46:B46"/>
    <mergeCell ref="A47:B47"/>
    <mergeCell ref="A48:B48"/>
    <mergeCell ref="A49:B49"/>
    <mergeCell ref="A50:B50"/>
    <mergeCell ref="L40:L42"/>
    <mergeCell ref="A43:B43"/>
    <mergeCell ref="A44:B44"/>
    <mergeCell ref="A45:B45"/>
    <mergeCell ref="A40:B42"/>
    <mergeCell ref="C40:C42"/>
    <mergeCell ref="E40:E42"/>
    <mergeCell ref="G40:G42"/>
    <mergeCell ref="H40:H42"/>
    <mergeCell ref="I40:I42"/>
    <mergeCell ref="J40:J42"/>
    <mergeCell ref="K40:K42"/>
    <mergeCell ref="D40:D42"/>
    <mergeCell ref="F40:F42"/>
    <mergeCell ref="C34:D34"/>
    <mergeCell ref="A29:C29"/>
    <mergeCell ref="H27:H28"/>
    <mergeCell ref="I27:I28"/>
    <mergeCell ref="J26:J28"/>
    <mergeCell ref="D27:D28"/>
    <mergeCell ref="E27:E28"/>
    <mergeCell ref="F27:F28"/>
    <mergeCell ref="G27:G28"/>
    <mergeCell ref="F34:H37"/>
    <mergeCell ref="I34:J37"/>
  </mergeCells>
  <pageMargins left="0.25" right="0.25" top="0.75" bottom="0.75" header="0.3" footer="0.3"/>
  <pageSetup scale="6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RefTable!$A$51:$A$58</xm:f>
          </x14:formula1>
          <xm:sqref>A43:B50</xm:sqref>
        </x14:dataValidation>
        <x14:dataValidation type="list" allowBlank="1" showInputMessage="1" showErrorMessage="1">
          <x14:formula1>
            <xm:f>RefTable!$D$62:$D$73</xm:f>
          </x14:formula1>
          <xm:sqref>E43:E50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2" tint="-9.9978637043366805E-2"/>
    <pageSetUpPr fitToPage="1"/>
  </sheetPr>
  <dimension ref="A1:N63"/>
  <sheetViews>
    <sheetView showZeros="0" topLeftCell="A28" workbookViewId="0">
      <selection activeCell="E40" sqref="E40"/>
    </sheetView>
  </sheetViews>
  <sheetFormatPr defaultRowHeight="15" x14ac:dyDescent="0.25"/>
  <cols>
    <col min="1" max="1" width="25.5703125" customWidth="1"/>
    <col min="2" max="2" width="30.5703125" customWidth="1"/>
    <col min="3" max="3" width="14.140625" customWidth="1"/>
    <col min="4" max="4" width="13" customWidth="1"/>
    <col min="5" max="6" width="12.5703125" customWidth="1"/>
    <col min="7" max="7" width="12.7109375" customWidth="1"/>
    <col min="8" max="9" width="16.5703125" customWidth="1"/>
    <col min="10" max="10" width="18.85546875" customWidth="1"/>
  </cols>
  <sheetData>
    <row r="1" spans="1:14" ht="15.75" thickBot="1" x14ac:dyDescent="0.3">
      <c r="A1" s="118" t="s">
        <v>117</v>
      </c>
    </row>
    <row r="2" spans="1:14" ht="15.75" thickTop="1" x14ac:dyDescent="0.25">
      <c r="A2" s="118" t="s">
        <v>360</v>
      </c>
      <c r="J2" s="126" t="s">
        <v>236</v>
      </c>
      <c r="K2" s="156" t="s">
        <v>188</v>
      </c>
      <c r="L2" s="62"/>
      <c r="M2" s="151"/>
      <c r="N2" s="63"/>
    </row>
    <row r="3" spans="1:14" x14ac:dyDescent="0.25">
      <c r="A3" t="s">
        <v>425</v>
      </c>
      <c r="K3" s="155"/>
      <c r="L3" s="153" t="s">
        <v>67</v>
      </c>
      <c r="M3" s="6"/>
      <c r="N3" s="67"/>
    </row>
    <row r="4" spans="1:14" ht="15.75" thickBot="1" x14ac:dyDescent="0.3">
      <c r="K4" s="152"/>
      <c r="L4" s="153" t="s">
        <v>187</v>
      </c>
      <c r="M4" s="134"/>
      <c r="N4" s="67"/>
    </row>
    <row r="5" spans="1:14" ht="15.75" thickBot="1" x14ac:dyDescent="0.3">
      <c r="A5" s="26" t="s">
        <v>145</v>
      </c>
      <c r="H5" s="425" t="s">
        <v>133</v>
      </c>
      <c r="I5" s="426"/>
      <c r="K5" s="154"/>
      <c r="L5" s="72" t="s">
        <v>237</v>
      </c>
      <c r="M5" s="72"/>
      <c r="N5" s="73"/>
    </row>
    <row r="6" spans="1:14" ht="15" customHeight="1" x14ac:dyDescent="0.25">
      <c r="A6" s="415" t="s">
        <v>125</v>
      </c>
      <c r="B6" s="415" t="s">
        <v>6</v>
      </c>
      <c r="C6" s="413" t="s">
        <v>124</v>
      </c>
      <c r="D6" s="413" t="s">
        <v>118</v>
      </c>
      <c r="E6" s="413" t="s">
        <v>119</v>
      </c>
      <c r="F6" s="417" t="s">
        <v>120</v>
      </c>
      <c r="G6" s="419" t="s">
        <v>121</v>
      </c>
      <c r="H6" s="421" t="s">
        <v>122</v>
      </c>
      <c r="I6" s="423" t="s">
        <v>123</v>
      </c>
      <c r="J6" s="126" t="s">
        <v>238</v>
      </c>
      <c r="K6" s="76"/>
      <c r="L6" s="74"/>
      <c r="M6" s="75"/>
    </row>
    <row r="7" spans="1:14" x14ac:dyDescent="0.25">
      <c r="A7" s="416"/>
      <c r="B7" s="416"/>
      <c r="C7" s="414"/>
      <c r="D7" s="414"/>
      <c r="E7" s="414"/>
      <c r="F7" s="418"/>
      <c r="G7" s="420"/>
      <c r="H7" s="422"/>
      <c r="I7" s="424"/>
      <c r="K7" s="205"/>
      <c r="L7" s="74" t="s">
        <v>332</v>
      </c>
    </row>
    <row r="8" spans="1:14" x14ac:dyDescent="0.25">
      <c r="A8" s="206" t="str">
        <f>Inventory!A18</f>
        <v>Sheep</v>
      </c>
      <c r="B8" s="206" t="str">
        <f>Inventory!C18</f>
        <v>Lamb (Market)</v>
      </c>
      <c r="C8" s="207">
        <f>Inventory!K18</f>
        <v>2</v>
      </c>
      <c r="D8" s="124">
        <f t="array" ref="D8">IF(ISNA(INDEX(RefTable!$G$9:$G$43,MATCH(1,(RefTable!$C$9:$C$43=$A8)*(RefTable!$D$9:$D$43=$B8),0))),"0",INDEX(RefTable!$G$9:$G$43,MATCH(1,(RefTable!$C$9:$C$43=$A8)*(RefTable!$D$9:$D$43=$B8),0)))</f>
        <v>110</v>
      </c>
      <c r="E8" s="124">
        <f t="array" ref="E8">IF(ISNA(INDEX(RefTable!$H$9:$H$43,MATCH(1,(RefTable!$C$9:$C$43=$A8)*(RefTable!$D$9:$D$43=$B8),0))),"0",INDEX(RefTable!$H$9:$H$43,MATCH(1,(RefTable!$C$9:$C$43=$A8)*(RefTable!$D$9:$D$43=$B8),0)))</f>
        <v>1.8</v>
      </c>
      <c r="F8" s="124">
        <f t="array" ref="F8">IF(ISNA(INDEX(RefTable!$I$9:$I$43,MATCH(1,(RefTable!$C$9:$C$43=$A8)*(RefTable!$D$9:$D$43=$B8),0))),"0",INDEX(RefTable!$I$9:$I$43,MATCH(1,(RefTable!$C$9:$C$43=$A8)*(RefTable!$D$9:$D$43=$B8),0)))</f>
        <v>57</v>
      </c>
      <c r="G8" s="208">
        <f>Inventory!D30</f>
        <v>24</v>
      </c>
      <c r="H8" s="275">
        <f>C8*D8*G8/24</f>
        <v>220</v>
      </c>
      <c r="I8" s="277">
        <f>C8*E8*G8/24</f>
        <v>3.6</v>
      </c>
      <c r="K8" s="77"/>
      <c r="L8" s="74" t="s">
        <v>333</v>
      </c>
      <c r="M8" s="75"/>
    </row>
    <row r="9" spans="1:14" x14ac:dyDescent="0.25">
      <c r="A9" s="206" t="str">
        <f>Inventory!A19</f>
        <v>Goat</v>
      </c>
      <c r="B9" s="206" t="str">
        <f>Inventory!C19</f>
        <v>Dry (pregnant)</v>
      </c>
      <c r="C9" s="207">
        <f>Inventory!K19</f>
        <v>7.5</v>
      </c>
      <c r="D9" s="124">
        <f t="array" ref="D9">IF(ISNA(INDEX(RefTable!$G$9:$G$43,MATCH(1,(RefTable!$C$9:$C$43=$A9)*(RefTable!$D$9:$D$43=$B9),0))),"0",INDEX(RefTable!$G$9:$G$43,MATCH(1,(RefTable!$C$9:$C$43=$A9)*(RefTable!$D$9:$D$43=$B9),0)))</f>
        <v>117</v>
      </c>
      <c r="E9" s="124">
        <f t="array" ref="E9">IF(ISNA(INDEX(RefTable!$H$9:$H$43,MATCH(1,(RefTable!$C$9:$C$43=$A9)*(RefTable!$D$9:$D$43=$B9),0))),"0",INDEX(RefTable!$H$9:$H$43,MATCH(1,(RefTable!$C$9:$C$43=$A9)*(RefTable!$D$9:$D$43=$B9),0)))</f>
        <v>2</v>
      </c>
      <c r="F9" s="124">
        <f t="array" ref="F9">IF(ISNA(INDEX(RefTable!$I$9:$I$43,MATCH(1,(RefTable!$C$9:$C$43=$A9)*(RefTable!$D$9:$D$43=$B9),0))),"0",INDEX(RefTable!$I$9:$I$43,MATCH(1,(RefTable!$C$9:$C$43=$A9)*(RefTable!$D$9:$D$43=$B9),0)))</f>
        <v>56</v>
      </c>
      <c r="G9" s="208">
        <f>Inventory!D31</f>
        <v>24</v>
      </c>
      <c r="H9" s="275">
        <f t="shared" ref="H9:H13" si="0">C9*D9*G9/24</f>
        <v>877.5</v>
      </c>
      <c r="I9" s="277">
        <f t="shared" ref="I9:I13" si="1">C9*E9*G9/24</f>
        <v>15</v>
      </c>
      <c r="K9" s="167" t="s">
        <v>334</v>
      </c>
    </row>
    <row r="10" spans="1:14" x14ac:dyDescent="0.25">
      <c r="A10" s="206">
        <f>Inventory!A20</f>
        <v>0</v>
      </c>
      <c r="B10" s="206">
        <f>Inventory!C20</f>
        <v>0</v>
      </c>
      <c r="C10" s="207">
        <f>Inventory!K20</f>
        <v>0</v>
      </c>
      <c r="D10" s="124" t="str">
        <f t="array" ref="D10">IF(ISNA(INDEX(RefTable!$G$9:$G$43,MATCH(1,(RefTable!$C$9:$C$43=$A10)*(RefTable!$D$9:$D$43=$B10),0))),"0",INDEX(RefTable!$G$9:$G$43,MATCH(1,(RefTable!$C$9:$C$43=$A10)*(RefTable!$D$9:$D$43=$B10),0)))</f>
        <v>0</v>
      </c>
      <c r="E10" s="124" t="str">
        <f t="array" ref="E10">IF(ISNA(INDEX(RefTable!$H$9:$H$43,MATCH(1,(RefTable!$C$9:$C$43=$A10)*(RefTable!$D$9:$D$43=$B10),0))),"0",INDEX(RefTable!$H$9:$H$43,MATCH(1,(RefTable!$C$9:$C$43=$A10)*(RefTable!$D$9:$D$43=$B10),0)))</f>
        <v>0</v>
      </c>
      <c r="F10" s="124" t="str">
        <f t="array" ref="F10">IF(ISNA(INDEX(RefTable!$I$9:$I$43,MATCH(1,(RefTable!$C$9:$C$43=$A10)*(RefTable!$D$9:$D$43=$B10),0))),"0",INDEX(RefTable!$I$9:$I$43,MATCH(1,(RefTable!$C$9:$C$43=$A10)*(RefTable!$D$9:$D$43=$B10),0)))</f>
        <v>0</v>
      </c>
      <c r="G10" s="208">
        <f>Inventory!D32</f>
        <v>0</v>
      </c>
      <c r="H10" s="275">
        <f t="shared" si="0"/>
        <v>0</v>
      </c>
      <c r="I10" s="277">
        <f t="shared" si="1"/>
        <v>0</v>
      </c>
      <c r="K10" s="169"/>
      <c r="L10" s="74" t="s">
        <v>335</v>
      </c>
    </row>
    <row r="11" spans="1:14" x14ac:dyDescent="0.25">
      <c r="A11" s="206">
        <f>Inventory!A21</f>
        <v>0</v>
      </c>
      <c r="B11" s="206">
        <f>Inventory!C21</f>
        <v>0</v>
      </c>
      <c r="C11" s="207">
        <f>Inventory!K21</f>
        <v>0</v>
      </c>
      <c r="D11" s="124" t="str">
        <f t="array" ref="D11">IF(ISNA(INDEX(RefTable!$G$9:$G$43,MATCH(1,(RefTable!$C$9:$C$43=$A11)*(RefTable!$D$9:$D$43=$B11),0))),"0",INDEX(RefTable!$G$9:$G$43,MATCH(1,(RefTable!$C$9:$C$43=$A11)*(RefTable!$D$9:$D$43=$B11),0)))</f>
        <v>0</v>
      </c>
      <c r="E11" s="124" t="str">
        <f t="array" ref="E11">IF(ISNA(INDEX(RefTable!$H$9:$H$43,MATCH(1,(RefTable!$C$9:$C$43=$A11)*(RefTable!$D$9:$D$43=$B11),0))),"0",INDEX(RefTable!$H$9:$H$43,MATCH(1,(RefTable!$C$9:$C$43=$A11)*(RefTable!$D$9:$D$43=$B11),0)))</f>
        <v>0</v>
      </c>
      <c r="F11" s="124" t="str">
        <f t="array" ref="F11">IF(ISNA(INDEX(RefTable!$I$9:$I$43,MATCH(1,(RefTable!$C$9:$C$43=$A11)*(RefTable!$D$9:$D$43=$B11),0))),"0",INDEX(RefTable!$I$9:$I$43,MATCH(1,(RefTable!$C$9:$C$43=$A11)*(RefTable!$D$9:$D$43=$B11),0)))</f>
        <v>0</v>
      </c>
      <c r="G11" s="208">
        <f>Inventory!D33</f>
        <v>0</v>
      </c>
      <c r="H11" s="275">
        <f t="shared" si="0"/>
        <v>0</v>
      </c>
      <c r="I11" s="277">
        <f t="shared" si="1"/>
        <v>0</v>
      </c>
    </row>
    <row r="12" spans="1:14" x14ac:dyDescent="0.25">
      <c r="A12" s="206">
        <f>Inventory!A22</f>
        <v>0</v>
      </c>
      <c r="B12" s="206">
        <f>Inventory!C22</f>
        <v>0</v>
      </c>
      <c r="C12" s="207">
        <f>Inventory!K22</f>
        <v>0</v>
      </c>
      <c r="D12" s="124" t="str">
        <f t="array" ref="D12">IF(ISNA(INDEX(RefTable!$G$9:$G$43,MATCH(1,(RefTable!$C$9:$C$43=$A12)*(RefTable!$D$9:$D$43=$B12),0))),"0",INDEX(RefTable!$G$9:$G$43,MATCH(1,(RefTable!$C$9:$C$43=$A12)*(RefTable!$D$9:$D$43=$B12),0)))</f>
        <v>0</v>
      </c>
      <c r="E12" s="124" t="str">
        <f t="array" ref="E12">IF(ISNA(INDEX(RefTable!$H$9:$H$43,MATCH(1,(RefTable!$C$9:$C$43=$A12)*(RefTable!$D$9:$D$43=$B12),0))),"0",INDEX(RefTable!$H$9:$H$43,MATCH(1,(RefTable!$C$9:$C$43=$A12)*(RefTable!$D$9:$D$43=$B12),0)))</f>
        <v>0</v>
      </c>
      <c r="F12" s="124" t="str">
        <f t="array" ref="F12">IF(ISNA(INDEX(RefTable!$I$9:$I$43,MATCH(1,(RefTable!$C$9:$C$43=$A12)*(RefTable!$D$9:$D$43=$B12),0))),"0",INDEX(RefTable!$I$9:$I$43,MATCH(1,(RefTable!$C$9:$C$43=$A12)*(RefTable!$D$9:$D$43=$B12),0)))</f>
        <v>0</v>
      </c>
      <c r="G12" s="208">
        <f>Inventory!D34</f>
        <v>0</v>
      </c>
      <c r="H12" s="275">
        <f t="shared" si="0"/>
        <v>0</v>
      </c>
      <c r="I12" s="277">
        <f t="shared" si="1"/>
        <v>0</v>
      </c>
    </row>
    <row r="13" spans="1:14" x14ac:dyDescent="0.25">
      <c r="A13" s="206">
        <f>Inventory!A23</f>
        <v>0</v>
      </c>
      <c r="B13" s="206">
        <f>Inventory!C23</f>
        <v>0</v>
      </c>
      <c r="C13" s="207">
        <f>Inventory!K23</f>
        <v>0</v>
      </c>
      <c r="D13" s="124" t="str">
        <f t="array" ref="D13">IF(ISNA(INDEX(RefTable!$G$9:$G$43,MATCH(1,(RefTable!$C$9:$C$43=$A13)*(RefTable!$D$9:$D$43=$B13),0))),"0",INDEX(RefTable!$G$9:$G$43,MATCH(1,(RefTable!$C$9:$C$43=$A13)*(RefTable!$D$9:$D$43=$B13),0)))</f>
        <v>0</v>
      </c>
      <c r="E13" s="124" t="str">
        <f t="array" ref="E13">IF(ISNA(INDEX(RefTable!$H$9:$H$43,MATCH(1,(RefTable!$C$9:$C$43=$A13)*(RefTable!$D$9:$D$43=$B13),0))),"0",INDEX(RefTable!$H$9:$H$43,MATCH(1,(RefTable!$C$9:$C$43=$A13)*(RefTable!$D$9:$D$43=$B13),0)))</f>
        <v>0</v>
      </c>
      <c r="F13" s="124" t="str">
        <f t="array" ref="F13">IF(ISNA(INDEX(RefTable!$I$9:$I$43,MATCH(1,(RefTable!$C$9:$C$43=$A13)*(RefTable!$D$9:$D$43=$B13),0))),"0",INDEX(RefTable!$I$9:$I$43,MATCH(1,(RefTable!$C$9:$C$43=$A13)*(RefTable!$D$9:$D$43=$B13),0)))</f>
        <v>0</v>
      </c>
      <c r="G13" s="208">
        <f>Inventory!D35</f>
        <v>0</v>
      </c>
      <c r="H13" s="275">
        <f t="shared" si="0"/>
        <v>0</v>
      </c>
      <c r="I13" s="277">
        <f t="shared" si="1"/>
        <v>0</v>
      </c>
    </row>
    <row r="15" spans="1:14" ht="15.75" thickBot="1" x14ac:dyDescent="0.3"/>
    <row r="16" spans="1:14" ht="15.75" thickBot="1" x14ac:dyDescent="0.3">
      <c r="H16" s="425" t="s">
        <v>134</v>
      </c>
      <c r="I16" s="426"/>
    </row>
    <row r="17" spans="1:11" ht="15.75" thickBot="1" x14ac:dyDescent="0.3">
      <c r="H17" s="421" t="s">
        <v>136</v>
      </c>
      <c r="I17" s="423" t="s">
        <v>135</v>
      </c>
    </row>
    <row r="18" spans="1:11" ht="15.75" thickBot="1" x14ac:dyDescent="0.3">
      <c r="A18" s="26" t="s">
        <v>146</v>
      </c>
      <c r="D18" s="487" t="s">
        <v>250</v>
      </c>
      <c r="E18" s="490" t="s">
        <v>361</v>
      </c>
      <c r="F18" s="435" t="s">
        <v>149</v>
      </c>
      <c r="H18" s="422"/>
      <c r="I18" s="424"/>
    </row>
    <row r="19" spans="1:11" x14ac:dyDescent="0.25">
      <c r="A19" s="415" t="s">
        <v>150</v>
      </c>
      <c r="B19" s="415" t="s">
        <v>6</v>
      </c>
      <c r="C19" s="433" t="s">
        <v>147</v>
      </c>
      <c r="D19" s="488"/>
      <c r="E19" s="436"/>
      <c r="F19" s="436"/>
      <c r="H19" s="275">
        <f>H8*7</f>
        <v>1540</v>
      </c>
      <c r="I19" s="275">
        <f>I8*7</f>
        <v>25.2</v>
      </c>
    </row>
    <row r="20" spans="1:11" ht="15.75" thickBot="1" x14ac:dyDescent="0.3">
      <c r="A20" s="416"/>
      <c r="B20" s="416"/>
      <c r="C20" s="434"/>
      <c r="D20" s="489"/>
      <c r="E20" s="437"/>
      <c r="F20" s="437"/>
      <c r="H20" s="275">
        <f t="shared" ref="H20:I24" si="2">H9*7</f>
        <v>6142.5</v>
      </c>
      <c r="I20" s="275">
        <f t="shared" si="2"/>
        <v>105</v>
      </c>
    </row>
    <row r="21" spans="1:11" x14ac:dyDescent="0.25">
      <c r="A21" s="206" t="str">
        <f>Inventory!A18</f>
        <v>Sheep</v>
      </c>
      <c r="B21" s="206" t="str">
        <f>Inventory!C18</f>
        <v>Lamb (Market)</v>
      </c>
      <c r="C21" s="284">
        <f>Inventory!H18</f>
        <v>25</v>
      </c>
      <c r="D21" s="125">
        <f t="array" ref="D21">IF(ISNA(INDEX(RefTable!$F$9:$F$43,MATCH(1,(RefTable!$C$9:$C$43=$A21)*(RefTable!$D$9:$D$43=$B21),0))),"0",INDEX(RefTable!$F$9:$F$43,MATCH(1,(RefTable!$C$9:$C$43=$A21)*(RefTable!$D$9:$D$43=$B21),0)))</f>
        <v>20</v>
      </c>
      <c r="E21" s="121"/>
      <c r="F21" s="275">
        <f>C21*(D21-E21)</f>
        <v>500</v>
      </c>
      <c r="H21" s="275">
        <f t="shared" si="2"/>
        <v>0</v>
      </c>
      <c r="I21" s="275">
        <f t="shared" si="2"/>
        <v>0</v>
      </c>
    </row>
    <row r="22" spans="1:11" x14ac:dyDescent="0.25">
      <c r="A22" s="206" t="str">
        <f>Inventory!A19</f>
        <v>Goat</v>
      </c>
      <c r="B22" s="206" t="str">
        <f>Inventory!C19</f>
        <v>Dry (pregnant)</v>
      </c>
      <c r="C22" s="284">
        <f>Inventory!H19</f>
        <v>50</v>
      </c>
      <c r="D22" s="125">
        <f t="array" ref="D22">IF(ISNA(INDEX(RefTable!$F$9:$F$43,MATCH(1,(RefTable!$C$9:$C$43=$A22)*(RefTable!$D$9:$D$43=$B22),0))),"0",INDEX(RefTable!$F$9:$F$43,MATCH(1,(RefTable!$C$9:$C$43=$A22)*(RefTable!$D$9:$D$43=$B22),0)))</f>
        <v>15</v>
      </c>
      <c r="E22" s="121"/>
      <c r="F22" s="275">
        <f t="shared" ref="F22:F26" si="3">C22*(D22-E22)</f>
        <v>750</v>
      </c>
      <c r="H22" s="275">
        <f t="shared" si="2"/>
        <v>0</v>
      </c>
      <c r="I22" s="275">
        <f t="shared" si="2"/>
        <v>0</v>
      </c>
    </row>
    <row r="23" spans="1:11" x14ac:dyDescent="0.25">
      <c r="A23" s="206">
        <f>Inventory!A20</f>
        <v>0</v>
      </c>
      <c r="B23" s="206">
        <f>Inventory!C20</f>
        <v>0</v>
      </c>
      <c r="C23" s="284">
        <f>Inventory!H20</f>
        <v>0</v>
      </c>
      <c r="D23" s="125" t="str">
        <f t="array" ref="D23">IF(ISNA(INDEX(RefTable!$F$9:$F$43,MATCH(1,(RefTable!$C$9:$C$43=$A23)*(RefTable!$D$9:$D$43=$B23),0))),"0",INDEX(RefTable!$F$9:$F$43,MATCH(1,(RefTable!$C$9:$C$43=$A23)*(RefTable!$D$9:$D$43=$B23),0)))</f>
        <v>0</v>
      </c>
      <c r="E23" s="121"/>
      <c r="F23" s="275">
        <f t="shared" si="3"/>
        <v>0</v>
      </c>
      <c r="H23" s="275">
        <f t="shared" si="2"/>
        <v>0</v>
      </c>
      <c r="I23" s="275">
        <f t="shared" si="2"/>
        <v>0</v>
      </c>
    </row>
    <row r="24" spans="1:11" x14ac:dyDescent="0.25">
      <c r="A24" s="206">
        <f>Inventory!A21</f>
        <v>0</v>
      </c>
      <c r="B24" s="206">
        <f>Inventory!C21</f>
        <v>0</v>
      </c>
      <c r="C24" s="284">
        <f>Inventory!H21</f>
        <v>0</v>
      </c>
      <c r="D24" s="125" t="str">
        <f t="array" ref="D24">IF(ISNA(INDEX(RefTable!$F$9:$F$43,MATCH(1,(RefTable!$C$9:$C$43=$A24)*(RefTable!$D$9:$D$43=$B24),0))),"0",INDEX(RefTable!$F$9:$F$43,MATCH(1,(RefTable!$C$9:$C$43=$A24)*(RefTable!$D$9:$D$43=$B24),0)))</f>
        <v>0</v>
      </c>
      <c r="E24" s="121"/>
      <c r="F24" s="275">
        <f t="shared" si="3"/>
        <v>0</v>
      </c>
      <c r="H24" s="275">
        <f t="shared" si="2"/>
        <v>0</v>
      </c>
      <c r="I24" s="275">
        <f t="shared" si="2"/>
        <v>0</v>
      </c>
    </row>
    <row r="25" spans="1:11" x14ac:dyDescent="0.25">
      <c r="A25" s="206">
        <f>Inventory!A22</f>
        <v>0</v>
      </c>
      <c r="B25" s="206">
        <f>Inventory!C22</f>
        <v>0</v>
      </c>
      <c r="C25" s="284">
        <f>Inventory!H22</f>
        <v>0</v>
      </c>
      <c r="D25" s="125" t="str">
        <f t="array" ref="D25">IF(ISNA(INDEX(RefTable!$F$9:$F$43,MATCH(1,(RefTable!$C$9:$C$43=$A25)*(RefTable!$D$9:$D$43=$B25),0))),"0",INDEX(RefTable!$F$9:$F$43,MATCH(1,(RefTable!$C$9:$C$43=$A25)*(RefTable!$D$9:$D$43=$B25),0)))</f>
        <v>0</v>
      </c>
      <c r="E25" s="121"/>
      <c r="F25" s="275">
        <f t="shared" si="3"/>
        <v>0</v>
      </c>
    </row>
    <row r="26" spans="1:11" x14ac:dyDescent="0.25">
      <c r="A26" s="206">
        <f>Inventory!A23</f>
        <v>0</v>
      </c>
      <c r="B26" s="206">
        <f>Inventory!C23</f>
        <v>0</v>
      </c>
      <c r="C26" s="284">
        <f>Inventory!H23</f>
        <v>0</v>
      </c>
      <c r="D26" s="125" t="str">
        <f t="array" ref="D26">IF(ISNA(INDEX(RefTable!$F$9:$F$43,MATCH(1,(RefTable!$C$9:$C$43=$A26)*(RefTable!$D$9:$D$43=$B26),0))),"0",INDEX(RefTable!$F$9:$F$43,MATCH(1,(RefTable!$C$9:$C$43=$A26)*(RefTable!$D$9:$D$43=$B26),0)))</f>
        <v>0</v>
      </c>
      <c r="E26" s="121"/>
      <c r="F26" s="275">
        <f t="shared" si="3"/>
        <v>0</v>
      </c>
    </row>
    <row r="27" spans="1:11" ht="15.75" thickBot="1" x14ac:dyDescent="0.3">
      <c r="E27" s="126" t="s">
        <v>249</v>
      </c>
      <c r="H27" t="s">
        <v>140</v>
      </c>
    </row>
    <row r="28" spans="1:11" ht="16.5" thickTop="1" thickBot="1" x14ac:dyDescent="0.3">
      <c r="E28" s="126" t="s">
        <v>152</v>
      </c>
      <c r="F28" s="276">
        <f>SUM(F21:F26)</f>
        <v>1250</v>
      </c>
      <c r="H28" s="425" t="s">
        <v>137</v>
      </c>
      <c r="I28" s="426"/>
    </row>
    <row r="29" spans="1:11" ht="15.75" thickTop="1" x14ac:dyDescent="0.25">
      <c r="H29" s="421" t="s">
        <v>138</v>
      </c>
      <c r="I29" s="423" t="s">
        <v>139</v>
      </c>
      <c r="K29" t="s">
        <v>258</v>
      </c>
    </row>
    <row r="30" spans="1:11" x14ac:dyDescent="0.25">
      <c r="A30" s="52" t="s">
        <v>255</v>
      </c>
      <c r="B30" t="s">
        <v>251</v>
      </c>
      <c r="H30" s="422"/>
      <c r="I30" s="424"/>
      <c r="K30" t="s">
        <v>259</v>
      </c>
    </row>
    <row r="31" spans="1:11" ht="17.25" x14ac:dyDescent="0.25">
      <c r="B31" s="26" t="s">
        <v>336</v>
      </c>
      <c r="C31" s="178"/>
      <c r="D31" s="178"/>
      <c r="H31" s="275">
        <f>H19*4.3</f>
        <v>6622</v>
      </c>
      <c r="I31" s="275">
        <f>I19*4.3</f>
        <v>108.36</v>
      </c>
      <c r="K31" s="178">
        <v>6</v>
      </c>
    </row>
    <row r="32" spans="1:11" x14ac:dyDescent="0.25">
      <c r="B32" t="s">
        <v>254</v>
      </c>
      <c r="C32" s="178">
        <v>2</v>
      </c>
      <c r="D32" s="178"/>
      <c r="H32" s="275">
        <f t="shared" ref="H32:I36" si="4">H20*4.3</f>
        <v>26412.75</v>
      </c>
      <c r="I32" s="275">
        <f t="shared" si="4"/>
        <v>451.5</v>
      </c>
      <c r="K32" s="178">
        <v>5</v>
      </c>
    </row>
    <row r="33" spans="2:11" x14ac:dyDescent="0.25">
      <c r="B33" t="s">
        <v>337</v>
      </c>
      <c r="C33" s="178">
        <v>6</v>
      </c>
      <c r="H33" s="275">
        <f t="shared" si="4"/>
        <v>0</v>
      </c>
      <c r="I33" s="275">
        <f t="shared" si="4"/>
        <v>0</v>
      </c>
      <c r="K33" s="178">
        <v>4</v>
      </c>
    </row>
    <row r="34" spans="2:11" x14ac:dyDescent="0.25">
      <c r="B34" s="52" t="s">
        <v>253</v>
      </c>
      <c r="C34" s="179">
        <f>C32*C33</f>
        <v>12</v>
      </c>
      <c r="H34" s="275">
        <f t="shared" si="4"/>
        <v>0</v>
      </c>
      <c r="I34" s="275">
        <f t="shared" si="4"/>
        <v>0</v>
      </c>
      <c r="K34" s="178">
        <v>3</v>
      </c>
    </row>
    <row r="35" spans="2:11" x14ac:dyDescent="0.25">
      <c r="H35" s="275">
        <f t="shared" si="4"/>
        <v>0</v>
      </c>
      <c r="I35" s="275">
        <f t="shared" si="4"/>
        <v>0</v>
      </c>
      <c r="K35" s="178">
        <v>2</v>
      </c>
    </row>
    <row r="36" spans="2:11" x14ac:dyDescent="0.25">
      <c r="B36" s="52" t="s">
        <v>257</v>
      </c>
      <c r="C36" s="294"/>
      <c r="H36" s="275">
        <f t="shared" si="4"/>
        <v>0</v>
      </c>
      <c r="I36" s="275">
        <f t="shared" si="4"/>
        <v>0</v>
      </c>
    </row>
    <row r="37" spans="2:11" x14ac:dyDescent="0.25">
      <c r="B37" s="52" t="s">
        <v>260</v>
      </c>
      <c r="C37" s="180">
        <f>C36/24</f>
        <v>0</v>
      </c>
    </row>
    <row r="39" spans="2:11" ht="15.75" thickBot="1" x14ac:dyDescent="0.3">
      <c r="G39" s="284">
        <f>Inventory!G32</f>
        <v>4</v>
      </c>
      <c r="H39" t="s">
        <v>141</v>
      </c>
    </row>
    <row r="40" spans="2:11" ht="16.5" thickTop="1" thickBot="1" x14ac:dyDescent="0.3">
      <c r="H40" s="429" t="s">
        <v>142</v>
      </c>
      <c r="I40" s="430"/>
      <c r="J40" s="128" t="s">
        <v>158</v>
      </c>
    </row>
    <row r="41" spans="2:11" x14ac:dyDescent="0.25">
      <c r="H41" s="431" t="s">
        <v>143</v>
      </c>
      <c r="I41" s="423" t="s">
        <v>144</v>
      </c>
      <c r="J41" s="427" t="s">
        <v>159</v>
      </c>
    </row>
    <row r="42" spans="2:11" x14ac:dyDescent="0.25">
      <c r="H42" s="432"/>
      <c r="I42" s="424"/>
      <c r="J42" s="428"/>
    </row>
    <row r="43" spans="2:11" x14ac:dyDescent="0.25">
      <c r="H43" s="278">
        <f>H31*$G$39</f>
        <v>26488</v>
      </c>
      <c r="I43" s="279">
        <f t="shared" ref="H43:I48" si="5">I31*$G$39</f>
        <v>433.44</v>
      </c>
      <c r="J43" s="280">
        <f>H43*F8/100</f>
        <v>15098.16</v>
      </c>
    </row>
    <row r="44" spans="2:11" x14ac:dyDescent="0.25">
      <c r="H44" s="278">
        <f t="shared" si="5"/>
        <v>105651</v>
      </c>
      <c r="I44" s="279">
        <f t="shared" si="5"/>
        <v>1806</v>
      </c>
      <c r="J44" s="280">
        <f t="shared" ref="J44:J47" si="6">H44*F9/100</f>
        <v>59164.56</v>
      </c>
    </row>
    <row r="45" spans="2:11" x14ac:dyDescent="0.25">
      <c r="H45" s="278">
        <f t="shared" si="5"/>
        <v>0</v>
      </c>
      <c r="I45" s="279">
        <f t="shared" si="5"/>
        <v>0</v>
      </c>
      <c r="J45" s="280">
        <f t="shared" si="6"/>
        <v>0</v>
      </c>
    </row>
    <row r="46" spans="2:11" x14ac:dyDescent="0.25">
      <c r="H46" s="278">
        <f t="shared" si="5"/>
        <v>0</v>
      </c>
      <c r="I46" s="279">
        <f t="shared" si="5"/>
        <v>0</v>
      </c>
      <c r="J46" s="280">
        <f t="shared" si="6"/>
        <v>0</v>
      </c>
    </row>
    <row r="47" spans="2:11" x14ac:dyDescent="0.25">
      <c r="H47" s="278">
        <f t="shared" si="5"/>
        <v>0</v>
      </c>
      <c r="I47" s="279">
        <f t="shared" si="5"/>
        <v>0</v>
      </c>
      <c r="J47" s="280">
        <f t="shared" si="6"/>
        <v>0</v>
      </c>
    </row>
    <row r="48" spans="2:11" ht="15.75" thickBot="1" x14ac:dyDescent="0.3">
      <c r="H48" s="281">
        <f t="shared" si="5"/>
        <v>0</v>
      </c>
      <c r="I48" s="282">
        <f t="shared" si="5"/>
        <v>0</v>
      </c>
      <c r="J48" s="283">
        <f>H48*F13/100</f>
        <v>0</v>
      </c>
    </row>
    <row r="49" spans="6:10" ht="16.5" thickTop="1" thickBot="1" x14ac:dyDescent="0.3">
      <c r="G49" s="126" t="s">
        <v>160</v>
      </c>
      <c r="H49" s="276">
        <f>SUM(H43:H48)</f>
        <v>132139</v>
      </c>
      <c r="I49" s="276">
        <f t="shared" ref="I49" si="7">SUM(I43:I48)</f>
        <v>2239.44</v>
      </c>
      <c r="J49" s="276">
        <f>SUM(J43:J48)</f>
        <v>74262.720000000001</v>
      </c>
    </row>
    <row r="50" spans="6:10" ht="15.75" thickTop="1" x14ac:dyDescent="0.25"/>
    <row r="51" spans="6:10" x14ac:dyDescent="0.25">
      <c r="F51" s="26" t="s">
        <v>265</v>
      </c>
    </row>
    <row r="52" spans="6:10" ht="15.75" thickBot="1" x14ac:dyDescent="0.3">
      <c r="F52" s="52" t="s">
        <v>261</v>
      </c>
      <c r="G52" s="209">
        <f>C37</f>
        <v>0</v>
      </c>
      <c r="H52" t="s">
        <v>261</v>
      </c>
    </row>
    <row r="53" spans="6:10" ht="16.5" thickTop="1" thickBot="1" x14ac:dyDescent="0.3">
      <c r="F53" s="126" t="s">
        <v>266</v>
      </c>
      <c r="G53" s="181" t="s">
        <v>262</v>
      </c>
      <c r="H53" s="430" t="s">
        <v>267</v>
      </c>
      <c r="I53" s="430"/>
      <c r="J53" s="128" t="s">
        <v>263</v>
      </c>
    </row>
    <row r="54" spans="6:10" ht="15" customHeight="1" x14ac:dyDescent="0.25">
      <c r="G54" s="493" t="s">
        <v>264</v>
      </c>
      <c r="H54" s="491" t="s">
        <v>143</v>
      </c>
      <c r="I54" s="423" t="s">
        <v>144</v>
      </c>
      <c r="J54" s="427" t="s">
        <v>159</v>
      </c>
    </row>
    <row r="55" spans="6:10" x14ac:dyDescent="0.25">
      <c r="G55" s="466"/>
      <c r="H55" s="492"/>
      <c r="I55" s="424"/>
      <c r="J55" s="428"/>
    </row>
    <row r="56" spans="6:10" x14ac:dyDescent="0.25">
      <c r="G56" s="287">
        <f>I43*$G$52</f>
        <v>0</v>
      </c>
      <c r="H56" s="288">
        <f>H43*(1-$G$52)</f>
        <v>26488</v>
      </c>
      <c r="I56" s="279">
        <f>I43-G56</f>
        <v>433.44</v>
      </c>
      <c r="J56" s="280">
        <f>H56*F8/100</f>
        <v>15098.16</v>
      </c>
    </row>
    <row r="57" spans="6:10" x14ac:dyDescent="0.25">
      <c r="G57" s="287">
        <f t="shared" ref="G57:G62" si="8">I44*$G$52</f>
        <v>0</v>
      </c>
      <c r="H57" s="288">
        <f t="shared" ref="H57:H62" si="9">H44*(1-$G$52)</f>
        <v>105651</v>
      </c>
      <c r="I57" s="279">
        <f t="shared" ref="I57:I62" si="10">I44-G57</f>
        <v>1806</v>
      </c>
      <c r="J57" s="280">
        <f t="shared" ref="J57:J61" si="11">H57*F9/100</f>
        <v>59164.56</v>
      </c>
    </row>
    <row r="58" spans="6:10" x14ac:dyDescent="0.25">
      <c r="G58" s="287">
        <f t="shared" si="8"/>
        <v>0</v>
      </c>
      <c r="H58" s="288">
        <f t="shared" si="9"/>
        <v>0</v>
      </c>
      <c r="I58" s="279">
        <f t="shared" si="10"/>
        <v>0</v>
      </c>
      <c r="J58" s="280">
        <f t="shared" si="11"/>
        <v>0</v>
      </c>
    </row>
    <row r="59" spans="6:10" x14ac:dyDescent="0.25">
      <c r="G59" s="287">
        <f t="shared" si="8"/>
        <v>0</v>
      </c>
      <c r="H59" s="288">
        <f t="shared" si="9"/>
        <v>0</v>
      </c>
      <c r="I59" s="279">
        <f t="shared" si="10"/>
        <v>0</v>
      </c>
      <c r="J59" s="280">
        <f t="shared" si="11"/>
        <v>0</v>
      </c>
    </row>
    <row r="60" spans="6:10" x14ac:dyDescent="0.25">
      <c r="G60" s="287">
        <f t="shared" si="8"/>
        <v>0</v>
      </c>
      <c r="H60" s="288">
        <f t="shared" si="9"/>
        <v>0</v>
      </c>
      <c r="I60" s="279">
        <f t="shared" si="10"/>
        <v>0</v>
      </c>
      <c r="J60" s="280">
        <f t="shared" si="11"/>
        <v>0</v>
      </c>
    </row>
    <row r="61" spans="6:10" ht="15.75" thickBot="1" x14ac:dyDescent="0.3">
      <c r="G61" s="289">
        <f t="shared" si="8"/>
        <v>0</v>
      </c>
      <c r="H61" s="290">
        <f t="shared" si="9"/>
        <v>0</v>
      </c>
      <c r="I61" s="279">
        <f t="shared" si="10"/>
        <v>0</v>
      </c>
      <c r="J61" s="291">
        <f t="shared" si="11"/>
        <v>0</v>
      </c>
    </row>
    <row r="62" spans="6:10" ht="16.5" thickTop="1" thickBot="1" x14ac:dyDescent="0.3">
      <c r="F62" s="126" t="s">
        <v>160</v>
      </c>
      <c r="G62" s="292">
        <f t="shared" si="8"/>
        <v>0</v>
      </c>
      <c r="H62" s="293">
        <f t="shared" si="9"/>
        <v>132139</v>
      </c>
      <c r="I62" s="276">
        <f t="shared" si="10"/>
        <v>2239.44</v>
      </c>
      <c r="J62" s="276">
        <f>SUM(J56:J61)</f>
        <v>74262.720000000001</v>
      </c>
    </row>
    <row r="63" spans="6:10" ht="15.75" thickTop="1" x14ac:dyDescent="0.25"/>
  </sheetData>
  <sheetProtection sheet="1" objects="1" scenarios="1"/>
  <mergeCells count="31">
    <mergeCell ref="H53:I53"/>
    <mergeCell ref="H54:H55"/>
    <mergeCell ref="I54:I55"/>
    <mergeCell ref="J54:J55"/>
    <mergeCell ref="G54:G55"/>
    <mergeCell ref="D18:D20"/>
    <mergeCell ref="F18:F20"/>
    <mergeCell ref="J41:J42"/>
    <mergeCell ref="H28:I28"/>
    <mergeCell ref="H29:H30"/>
    <mergeCell ref="I29:I30"/>
    <mergeCell ref="H40:I40"/>
    <mergeCell ref="H41:H42"/>
    <mergeCell ref="I41:I42"/>
    <mergeCell ref="E18:E20"/>
    <mergeCell ref="A19:A20"/>
    <mergeCell ref="B19:B20"/>
    <mergeCell ref="C19:C20"/>
    <mergeCell ref="H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H16:I16"/>
    <mergeCell ref="H17:H18"/>
    <mergeCell ref="I17:I18"/>
  </mergeCells>
  <dataValidations count="1">
    <dataValidation type="list" allowBlank="1" showInputMessage="1" showErrorMessage="1" sqref="C36">
      <formula1>$K$31:$K$35</formula1>
    </dataValidation>
  </dataValidations>
  <pageMargins left="0.25" right="0.25" top="0.75" bottom="0.75" header="0.3" footer="0.3"/>
  <pageSetup scale="5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2" tint="-9.9978637043366805E-2"/>
    <pageSetUpPr fitToPage="1"/>
  </sheetPr>
  <dimension ref="A1:Q91"/>
  <sheetViews>
    <sheetView topLeftCell="A43" zoomScaleNormal="100" workbookViewId="0">
      <selection activeCell="E43" sqref="E43"/>
    </sheetView>
  </sheetViews>
  <sheetFormatPr defaultRowHeight="15" x14ac:dyDescent="0.25"/>
  <cols>
    <col min="2" max="2" width="14" customWidth="1"/>
    <col min="3" max="3" width="13.42578125" customWidth="1"/>
    <col min="4" max="4" width="13.85546875" customWidth="1"/>
    <col min="5" max="5" width="13.7109375" customWidth="1"/>
    <col min="8" max="8" width="12.140625" customWidth="1"/>
    <col min="9" max="9" width="11.140625" customWidth="1"/>
    <col min="10" max="10" width="11.85546875" customWidth="1"/>
    <col min="11" max="11" width="13.28515625" customWidth="1"/>
    <col min="12" max="12" width="10.140625" customWidth="1"/>
  </cols>
  <sheetData>
    <row r="1" spans="1:9" ht="15.75" x14ac:dyDescent="0.25">
      <c r="A1" s="78" t="s">
        <v>270</v>
      </c>
    </row>
    <row r="2" spans="1:9" x14ac:dyDescent="0.25">
      <c r="A2" t="s">
        <v>271</v>
      </c>
    </row>
    <row r="4" spans="1:9" x14ac:dyDescent="0.25">
      <c r="A4" s="26" t="s">
        <v>272</v>
      </c>
      <c r="I4" t="s">
        <v>269</v>
      </c>
    </row>
    <row r="5" spans="1:9" x14ac:dyDescent="0.25">
      <c r="I5" t="s">
        <v>268</v>
      </c>
    </row>
    <row r="19" spans="1:17" x14ac:dyDescent="0.25">
      <c r="G19" s="26" t="s">
        <v>154</v>
      </c>
    </row>
    <row r="20" spans="1:17" ht="15.75" customHeight="1" x14ac:dyDescent="0.25">
      <c r="G20" s="127" t="s">
        <v>156</v>
      </c>
    </row>
    <row r="21" spans="1:17" ht="15" customHeight="1" x14ac:dyDescent="0.25">
      <c r="G21" s="127" t="s">
        <v>155</v>
      </c>
    </row>
    <row r="23" spans="1:17" ht="15.75" thickBot="1" x14ac:dyDescent="0.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7" ht="15.75" thickTop="1" x14ac:dyDescent="0.25">
      <c r="A24" s="129"/>
    </row>
    <row r="25" spans="1:17" ht="15.75" thickBot="1" x14ac:dyDescent="0.3">
      <c r="A25" s="129" t="s">
        <v>384</v>
      </c>
      <c r="E25" s="121">
        <v>12</v>
      </c>
      <c r="F25" t="s">
        <v>385</v>
      </c>
      <c r="K25" s="191"/>
    </row>
    <row r="26" spans="1:17" ht="15.75" thickBot="1" x14ac:dyDescent="0.3">
      <c r="A26" t="s">
        <v>181</v>
      </c>
      <c r="D26" s="132"/>
      <c r="E26" s="133"/>
      <c r="F26" s="134"/>
      <c r="G26" s="134"/>
      <c r="H26" s="75"/>
      <c r="J26" s="445" t="s">
        <v>303</v>
      </c>
      <c r="K26" s="192"/>
    </row>
    <row r="27" spans="1:17" ht="15" customHeight="1" x14ac:dyDescent="0.25">
      <c r="A27" s="130" t="s">
        <v>162</v>
      </c>
      <c r="D27" s="447" t="s">
        <v>293</v>
      </c>
      <c r="E27" s="447" t="s">
        <v>300</v>
      </c>
      <c r="F27" s="447" t="s">
        <v>301</v>
      </c>
      <c r="G27" s="443" t="s">
        <v>292</v>
      </c>
      <c r="H27" s="443" t="s">
        <v>299</v>
      </c>
      <c r="I27" s="445" t="s">
        <v>302</v>
      </c>
      <c r="J27" s="446"/>
      <c r="K27" s="52" t="s">
        <v>295</v>
      </c>
      <c r="L27" s="184" t="s">
        <v>298</v>
      </c>
      <c r="M27" s="185"/>
      <c r="N27" s="186"/>
    </row>
    <row r="28" spans="1:17" ht="15.75" thickBot="1" x14ac:dyDescent="0.3">
      <c r="A28" s="131" t="s">
        <v>161</v>
      </c>
      <c r="D28" s="448"/>
      <c r="E28" s="448"/>
      <c r="F28" s="448"/>
      <c r="G28" s="449"/>
      <c r="H28" s="444"/>
      <c r="I28" s="446"/>
      <c r="J28" s="446"/>
      <c r="L28" s="187" t="s">
        <v>296</v>
      </c>
      <c r="M28" s="6"/>
      <c r="N28" s="188"/>
    </row>
    <row r="29" spans="1:17" ht="15.75" thickBot="1" x14ac:dyDescent="0.3">
      <c r="A29" s="440" t="s">
        <v>294</v>
      </c>
      <c r="B29" s="441"/>
      <c r="C29" s="442"/>
      <c r="D29" s="210">
        <f>'DeepBP-L_Facility'!F28</f>
        <v>1250</v>
      </c>
      <c r="E29" s="210">
        <f>D29/9</f>
        <v>138.88888888888889</v>
      </c>
      <c r="F29" s="121">
        <v>420</v>
      </c>
      <c r="G29" s="121">
        <v>5</v>
      </c>
      <c r="H29" s="170">
        <f>IFERROR(E29*((E25*1.2/12)/3),0)</f>
        <v>55.55555555555555</v>
      </c>
      <c r="I29" s="171">
        <f>H29*G29</f>
        <v>277.77777777777777</v>
      </c>
      <c r="J29" s="279">
        <f>H29*F29</f>
        <v>23333.333333333332</v>
      </c>
      <c r="L29" s="189" t="s">
        <v>297</v>
      </c>
      <c r="M29" s="175"/>
      <c r="N29" s="190"/>
    </row>
    <row r="30" spans="1:17" ht="15.75" thickBot="1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7" ht="16.5" thickTop="1" thickBot="1" x14ac:dyDescent="0.3"/>
    <row r="32" spans="1:17" ht="15" customHeight="1" thickTop="1" x14ac:dyDescent="0.25">
      <c r="B32" s="75" t="s">
        <v>153</v>
      </c>
      <c r="L32" s="137"/>
      <c r="M32" s="126" t="s">
        <v>236</v>
      </c>
      <c r="N32" s="156" t="s">
        <v>188</v>
      </c>
      <c r="O32" s="62"/>
      <c r="P32" s="151"/>
      <c r="Q32" s="63"/>
    </row>
    <row r="33" spans="1:17" x14ac:dyDescent="0.25">
      <c r="C33" s="26" t="s">
        <v>183</v>
      </c>
      <c r="F33" s="136"/>
      <c r="L33" s="137"/>
      <c r="N33" s="155"/>
      <c r="O33" s="153" t="s">
        <v>67</v>
      </c>
      <c r="P33" s="6"/>
      <c r="Q33" s="67"/>
    </row>
    <row r="34" spans="1:17" ht="15" customHeight="1" x14ac:dyDescent="0.25">
      <c r="C34" s="438" t="s">
        <v>158</v>
      </c>
      <c r="D34" s="439"/>
      <c r="E34" s="123" t="s">
        <v>170</v>
      </c>
      <c r="F34" s="450" t="s">
        <v>171</v>
      </c>
      <c r="G34" s="451"/>
      <c r="H34" s="452"/>
      <c r="I34" s="459" t="s">
        <v>172</v>
      </c>
      <c r="J34" s="460"/>
      <c r="L34" s="137"/>
      <c r="N34" s="152"/>
      <c r="O34" s="153" t="s">
        <v>187</v>
      </c>
      <c r="P34" s="134"/>
      <c r="Q34" s="67"/>
    </row>
    <row r="35" spans="1:17" ht="15.75" thickBot="1" x14ac:dyDescent="0.3">
      <c r="F35" s="453"/>
      <c r="G35" s="454"/>
      <c r="H35" s="455"/>
      <c r="I35" s="461"/>
      <c r="J35" s="462"/>
      <c r="N35" s="154"/>
      <c r="O35" s="72" t="s">
        <v>237</v>
      </c>
      <c r="P35" s="72"/>
      <c r="Q35" s="73"/>
    </row>
    <row r="36" spans="1:17" ht="15.75" thickTop="1" x14ac:dyDescent="0.25">
      <c r="F36" s="453"/>
      <c r="G36" s="454"/>
      <c r="H36" s="455"/>
      <c r="I36" s="461"/>
      <c r="J36" s="462"/>
      <c r="M36" s="126" t="s">
        <v>238</v>
      </c>
      <c r="N36" s="76"/>
      <c r="O36" s="74"/>
      <c r="P36" s="75"/>
    </row>
    <row r="37" spans="1:17" x14ac:dyDescent="0.25">
      <c r="F37" s="456"/>
      <c r="G37" s="457"/>
      <c r="H37" s="458"/>
      <c r="I37" s="463"/>
      <c r="J37" s="464"/>
      <c r="N37" s="205"/>
      <c r="O37" s="74" t="s">
        <v>332</v>
      </c>
    </row>
    <row r="38" spans="1:17" x14ac:dyDescent="0.25">
      <c r="A38" t="s">
        <v>164</v>
      </c>
      <c r="N38" s="77"/>
      <c r="O38" s="74" t="s">
        <v>333</v>
      </c>
      <c r="P38" s="75"/>
    </row>
    <row r="39" spans="1:17" ht="15.75" customHeight="1" thickBot="1" x14ac:dyDescent="0.3">
      <c r="A39" s="26" t="s">
        <v>165</v>
      </c>
      <c r="N39" s="167" t="s">
        <v>334</v>
      </c>
    </row>
    <row r="40" spans="1:17" ht="15" customHeight="1" thickTop="1" thickBot="1" x14ac:dyDescent="0.3">
      <c r="A40" s="470" t="s">
        <v>166</v>
      </c>
      <c r="B40" s="470"/>
      <c r="C40" s="473" t="s">
        <v>343</v>
      </c>
      <c r="D40" s="473" t="s">
        <v>344</v>
      </c>
      <c r="E40" s="470" t="s">
        <v>342</v>
      </c>
      <c r="F40" s="481" t="s">
        <v>355</v>
      </c>
      <c r="G40" s="470" t="s">
        <v>349</v>
      </c>
      <c r="H40" s="470" t="s">
        <v>352</v>
      </c>
      <c r="I40" s="478" t="s">
        <v>353</v>
      </c>
      <c r="J40" s="465" t="s">
        <v>167</v>
      </c>
      <c r="K40" s="465" t="s">
        <v>351</v>
      </c>
      <c r="L40" s="465" t="s">
        <v>350</v>
      </c>
      <c r="N40" s="169"/>
      <c r="O40" s="74" t="s">
        <v>335</v>
      </c>
    </row>
    <row r="41" spans="1:17" ht="45" customHeight="1" thickTop="1" thickBot="1" x14ac:dyDescent="0.3">
      <c r="A41" s="471"/>
      <c r="B41" s="471"/>
      <c r="C41" s="474"/>
      <c r="D41" s="474"/>
      <c r="E41" s="476"/>
      <c r="F41" s="482"/>
      <c r="G41" s="471"/>
      <c r="H41" s="471"/>
      <c r="I41" s="479"/>
      <c r="J41" s="466"/>
      <c r="K41" s="466"/>
      <c r="L41" s="466"/>
    </row>
    <row r="42" spans="1:17" ht="8.25" customHeight="1" thickTop="1" thickBot="1" x14ac:dyDescent="0.3">
      <c r="A42" s="472"/>
      <c r="B42" s="472"/>
      <c r="C42" s="475"/>
      <c r="D42" s="475"/>
      <c r="E42" s="477"/>
      <c r="F42" s="483"/>
      <c r="G42" s="472"/>
      <c r="H42" s="472"/>
      <c r="I42" s="480"/>
      <c r="J42" s="467"/>
      <c r="K42" s="467"/>
      <c r="L42" s="467"/>
    </row>
    <row r="43" spans="1:17" ht="15.75" thickTop="1" x14ac:dyDescent="0.25">
      <c r="A43" s="468"/>
      <c r="B43" s="469"/>
      <c r="C43" s="345" t="str">
        <f>IFERROR(INDEX(RefTable!$B$51:$B$58,MATCH(A43,RefTable!$A$51:$A$58,0),0),"")</f>
        <v/>
      </c>
      <c r="D43" s="345" t="str">
        <f>IFERROR(INDEX(RefTable!$C$51:$C$58,MATCH(A43,RefTable!$A$51:$A$58,0),0),"")</f>
        <v/>
      </c>
      <c r="E43" s="265"/>
      <c r="F43" s="222" t="str">
        <f>IFERROR(INDEX(RefTable!$B$62:$B$73,MATCH(E43,RefTable!$D$62:$D$73,0),0),"")</f>
        <v/>
      </c>
      <c r="G43" s="285" t="str">
        <f>IFERROR(INDEX(RefTable!$C$62:$C$73,MATCH(E43,RefTable!$D$62:$D$73,0),0),"")</f>
        <v/>
      </c>
      <c r="H43" s="224" t="str">
        <f>IFERROR(INDEX(RefTable!$E$62:$E$73,MATCH(E43,RefTable!$D$62:$D$73,0),0),"")</f>
        <v/>
      </c>
      <c r="I43" s="121">
        <v>8</v>
      </c>
      <c r="J43" s="223" t="str">
        <f>IFERROR(I43*H43,"0")</f>
        <v>0</v>
      </c>
      <c r="K43" s="279" t="str">
        <f>IFERROR(I43*G43,"0")</f>
        <v>0</v>
      </c>
      <c r="L43" s="279" t="str">
        <f t="shared" ref="L43:L50" si="0">IFERROR(K43*C43/100,"0")</f>
        <v>0</v>
      </c>
    </row>
    <row r="44" spans="1:17" x14ac:dyDescent="0.25">
      <c r="A44" s="468"/>
      <c r="B44" s="469"/>
      <c r="C44" s="345" t="str">
        <f>IFERROR(INDEX(RefTable!$B$51:$B$58,MATCH(A44,RefTable!$A$51:$A$58,0),0),"")</f>
        <v/>
      </c>
      <c r="D44" s="345" t="str">
        <f>IFERROR(INDEX(RefTable!$C$51:$C$58,MATCH(A44,RefTable!$A$51:$A$58,0),0),"")</f>
        <v/>
      </c>
      <c r="E44" s="265"/>
      <c r="F44" s="222" t="str">
        <f>IFERROR(INDEX(RefTable!$B$62:$B$73,MATCH(E44,RefTable!$D$62:$D$73,0),0),"")</f>
        <v/>
      </c>
      <c r="G44" s="285" t="str">
        <f>IFERROR(INDEX(RefTable!$C$62:$C$73,MATCH(E44,RefTable!$D$62:$D$73,0),0),"")</f>
        <v/>
      </c>
      <c r="H44" s="224" t="str">
        <f>IFERROR(INDEX(RefTable!$E$62:$E$73,MATCH(E44,RefTable!$D$62:$D$73,0),0),"")</f>
        <v/>
      </c>
      <c r="I44" s="121"/>
      <c r="J44" s="223" t="str">
        <f>IFERROR(I44*H44,"0")</f>
        <v>0</v>
      </c>
      <c r="K44" s="279" t="str">
        <f>IFERROR(I44*G44,"0")</f>
        <v>0</v>
      </c>
      <c r="L44" s="279" t="str">
        <f t="shared" si="0"/>
        <v>0</v>
      </c>
    </row>
    <row r="45" spans="1:17" x14ac:dyDescent="0.25">
      <c r="A45" s="468"/>
      <c r="B45" s="469"/>
      <c r="C45" s="345" t="str">
        <f>IFERROR(INDEX(RefTable!$B$51:$B$58,MATCH(A45,RefTable!$A$51:$A$58,0),0),"")</f>
        <v/>
      </c>
      <c r="D45" s="345" t="str">
        <f>IFERROR(INDEX(RefTable!$C$51:$C$58,MATCH(A45,RefTable!$A$51:$A$58,0),0),"")</f>
        <v/>
      </c>
      <c r="E45" s="265"/>
      <c r="F45" s="222" t="str">
        <f>IFERROR(INDEX(RefTable!$B$62:$B$73,MATCH(E45,RefTable!$D$62:$D$73,0),0),"")</f>
        <v/>
      </c>
      <c r="G45" s="285" t="str">
        <f>IFERROR(INDEX(RefTable!$C$62:$C$73,MATCH(E45,RefTable!$D$62:$D$73,0),0),"")</f>
        <v/>
      </c>
      <c r="H45" s="224" t="str">
        <f>IFERROR(INDEX(RefTable!$E$62:$E$73,MATCH(E45,RefTable!$D$62:$D$73,0),0),"")</f>
        <v/>
      </c>
      <c r="I45" s="121"/>
      <c r="J45" s="223" t="str">
        <f t="shared" ref="J45:J50" si="1">IFERROR(I45*H45,"0")</f>
        <v>0</v>
      </c>
      <c r="K45" s="279" t="str">
        <f t="shared" ref="K45:K50" si="2">IFERROR(I45*G45,"0")</f>
        <v>0</v>
      </c>
      <c r="L45" s="279" t="str">
        <f t="shared" si="0"/>
        <v>0</v>
      </c>
    </row>
    <row r="46" spans="1:17" x14ac:dyDescent="0.25">
      <c r="A46" s="468"/>
      <c r="B46" s="469"/>
      <c r="C46" s="345" t="str">
        <f>IFERROR(INDEX(RefTable!$B$51:$B$58,MATCH(A46,RefTable!$A$51:$A$58,0),0),"")</f>
        <v/>
      </c>
      <c r="D46" s="345" t="str">
        <f>IFERROR(INDEX(RefTable!$C$51:$C$58,MATCH(A46,RefTable!$A$51:$A$58,0),0),"")</f>
        <v/>
      </c>
      <c r="E46" s="265"/>
      <c r="F46" s="222" t="str">
        <f>IFERROR(INDEX(RefTable!$B$62:$B$73,MATCH(E46,RefTable!$D$62:$D$73,0),0),"")</f>
        <v/>
      </c>
      <c r="G46" s="285" t="str">
        <f>IFERROR(INDEX(RefTable!$C$62:$C$73,MATCH(E46,RefTable!$D$62:$D$73,0),0),"")</f>
        <v/>
      </c>
      <c r="H46" s="224" t="str">
        <f>IFERROR(INDEX(RefTable!$E$62:$E$73,MATCH(E46,RefTable!$D$62:$D$73,0),0),"")</f>
        <v/>
      </c>
      <c r="I46" s="121"/>
      <c r="J46" s="223" t="str">
        <f t="shared" si="1"/>
        <v>0</v>
      </c>
      <c r="K46" s="279" t="str">
        <f t="shared" si="2"/>
        <v>0</v>
      </c>
      <c r="L46" s="279" t="str">
        <f t="shared" si="0"/>
        <v>0</v>
      </c>
    </row>
    <row r="47" spans="1:17" x14ac:dyDescent="0.25">
      <c r="A47" s="468"/>
      <c r="B47" s="469"/>
      <c r="C47" s="345" t="str">
        <f>IFERROR(INDEX(RefTable!$B$51:$B$58,MATCH(A47,RefTable!$A$51:$A$58,0),0),"")</f>
        <v/>
      </c>
      <c r="D47" s="345" t="str">
        <f>IFERROR(INDEX(RefTable!$C$51:$C$58,MATCH(A47,RefTable!$A$51:$A$58,0),0),"")</f>
        <v/>
      </c>
      <c r="E47" s="265"/>
      <c r="F47" s="222" t="str">
        <f>IFERROR(INDEX(RefTable!$B$62:$B$73,MATCH(E47,RefTable!$D$62:$D$73,0),0),"")</f>
        <v/>
      </c>
      <c r="G47" s="285" t="str">
        <f>IFERROR(INDEX(RefTable!$C$62:$C$73,MATCH(E47,RefTable!$D$62:$D$73,0),0),"")</f>
        <v/>
      </c>
      <c r="H47" s="224" t="str">
        <f>IFERROR(INDEX(RefTable!$E$62:$E$73,MATCH(E47,RefTable!$D$62:$D$73,0),0),"")</f>
        <v/>
      </c>
      <c r="I47" s="121"/>
      <c r="J47" s="223" t="str">
        <f t="shared" si="1"/>
        <v>0</v>
      </c>
      <c r="K47" s="279" t="str">
        <f t="shared" si="2"/>
        <v>0</v>
      </c>
      <c r="L47" s="279" t="str">
        <f t="shared" si="0"/>
        <v>0</v>
      </c>
    </row>
    <row r="48" spans="1:17" x14ac:dyDescent="0.25">
      <c r="A48" s="468"/>
      <c r="B48" s="469"/>
      <c r="C48" s="345" t="str">
        <f>IFERROR(INDEX(RefTable!$B$51:$B$58,MATCH(A48,RefTable!$A$51:$A$58,0),0),"")</f>
        <v/>
      </c>
      <c r="D48" s="345" t="str">
        <f>IFERROR(INDEX(RefTable!$C$51:$C$58,MATCH(A48,RefTable!$A$51:$A$58,0),0),"")</f>
        <v/>
      </c>
      <c r="E48" s="265"/>
      <c r="F48" s="222" t="str">
        <f>IFERROR(INDEX(RefTable!$B$62:$B$73,MATCH(E48,RefTable!$D$62:$D$73,0),0),"")</f>
        <v/>
      </c>
      <c r="G48" s="285" t="str">
        <f>IFERROR(INDEX(RefTable!$C$62:$C$73,MATCH(E48,RefTable!$D$62:$D$73,0),0),"")</f>
        <v/>
      </c>
      <c r="H48" s="224" t="str">
        <f>IFERROR(INDEX(RefTable!$E$62:$E$73,MATCH(E48,RefTable!$D$62:$D$73,0),0),"")</f>
        <v/>
      </c>
      <c r="I48" s="121"/>
      <c r="J48" s="223" t="str">
        <f t="shared" si="1"/>
        <v>0</v>
      </c>
      <c r="K48" s="279" t="str">
        <f t="shared" si="2"/>
        <v>0</v>
      </c>
      <c r="L48" s="279" t="str">
        <f t="shared" si="0"/>
        <v>0</v>
      </c>
    </row>
    <row r="49" spans="1:12" x14ac:dyDescent="0.25">
      <c r="A49" s="468"/>
      <c r="B49" s="469"/>
      <c r="C49" s="345" t="str">
        <f>IFERROR(INDEX(RefTable!$B$51:$B$58,MATCH(A49,RefTable!$A$51:$A$58,0),0),"")</f>
        <v/>
      </c>
      <c r="D49" s="345" t="str">
        <f>IFERROR(INDEX(RefTable!$C$51:$C$58,MATCH(A49,RefTable!$A$51:$A$58,0),0),"")</f>
        <v/>
      </c>
      <c r="E49" s="265"/>
      <c r="F49" s="222" t="str">
        <f>IFERROR(INDEX(RefTable!$B$62:$B$73,MATCH(E49,RefTable!$D$62:$D$73,0),0),"")</f>
        <v/>
      </c>
      <c r="G49" s="285" t="str">
        <f>IFERROR(INDEX(RefTable!$C$62:$C$73,MATCH(E49,RefTable!$D$62:$D$73,0),0),"")</f>
        <v/>
      </c>
      <c r="H49" s="224" t="str">
        <f>IFERROR(INDEX(RefTable!$E$62:$E$73,MATCH(E49,RefTable!$D$62:$D$73,0),0),"")</f>
        <v/>
      </c>
      <c r="I49" s="121"/>
      <c r="J49" s="223" t="str">
        <f t="shared" si="1"/>
        <v>0</v>
      </c>
      <c r="K49" s="279" t="str">
        <f t="shared" si="2"/>
        <v>0</v>
      </c>
      <c r="L49" s="279" t="str">
        <f t="shared" si="0"/>
        <v>0</v>
      </c>
    </row>
    <row r="50" spans="1:12" ht="15.75" thickBot="1" x14ac:dyDescent="0.3">
      <c r="A50" s="468"/>
      <c r="B50" s="469"/>
      <c r="C50" s="345" t="str">
        <f>IFERROR(INDEX(RefTable!$B$51:$B$58,MATCH(A50,RefTable!$A$51:$A$58,0),0),"")</f>
        <v/>
      </c>
      <c r="D50" s="345" t="str">
        <f>IFERROR(INDEX(RefTable!$C$51:$C$58,MATCH(A50,RefTable!$A$51:$A$58,0),0),"")</f>
        <v/>
      </c>
      <c r="E50" s="265"/>
      <c r="F50" s="222" t="str">
        <f>IFERROR(INDEX(RefTable!$B$62:$B$73,MATCH(E50,RefTable!$D$62:$D$73,0),0),"")</f>
        <v/>
      </c>
      <c r="G50" s="285" t="str">
        <f>IFERROR(INDEX(RefTable!$C$62:$C$73,MATCH(E50,RefTable!$D$62:$D$73,0),0),"")</f>
        <v/>
      </c>
      <c r="H50" s="224" t="str">
        <f>IFERROR(INDEX(RefTable!$E$62:$E$73,MATCH(E50,RefTable!$D$62:$D$73,0),0),"")</f>
        <v/>
      </c>
      <c r="I50" s="121"/>
      <c r="J50" s="223" t="str">
        <f t="shared" si="1"/>
        <v>0</v>
      </c>
      <c r="K50" s="279" t="str">
        <f t="shared" si="2"/>
        <v>0</v>
      </c>
      <c r="L50" s="279" t="str">
        <f t="shared" si="0"/>
        <v>0</v>
      </c>
    </row>
    <row r="51" spans="1:12" ht="16.5" thickTop="1" thickBot="1" x14ac:dyDescent="0.3">
      <c r="D51" s="225" t="s">
        <v>376</v>
      </c>
      <c r="I51" s="126" t="s">
        <v>168</v>
      </c>
      <c r="J51" s="172">
        <f>SUM(J43:J50)</f>
        <v>0</v>
      </c>
      <c r="K51" s="276">
        <f>SUM(K43:K50)</f>
        <v>0</v>
      </c>
      <c r="L51" s="276">
        <f>SUM(L43:L50)</f>
        <v>0</v>
      </c>
    </row>
    <row r="52" spans="1:12" ht="15.75" thickTop="1" x14ac:dyDescent="0.25">
      <c r="D52" s="304">
        <f>IFERROR((SUMPRODUCT(D43:D50,K43:K50))/K51,0)</f>
        <v>0</v>
      </c>
      <c r="I52" s="126"/>
      <c r="J52" s="251"/>
      <c r="K52" s="252"/>
      <c r="L52" s="252"/>
    </row>
    <row r="54" spans="1:12" ht="15.75" x14ac:dyDescent="0.25">
      <c r="C54" s="135" t="s">
        <v>169</v>
      </c>
    </row>
    <row r="59" spans="1:12" x14ac:dyDescent="0.25">
      <c r="I59" s="138" t="s">
        <v>173</v>
      </c>
      <c r="J59" s="295">
        <f>'DeepBP-L_Facility'!H62</f>
        <v>132139</v>
      </c>
    </row>
    <row r="60" spans="1:12" x14ac:dyDescent="0.25">
      <c r="I60" s="138" t="s">
        <v>174</v>
      </c>
      <c r="J60" s="295">
        <f>'DeepBP-L_Facility'!J62</f>
        <v>74262.720000000001</v>
      </c>
    </row>
    <row r="61" spans="1:12" x14ac:dyDescent="0.25">
      <c r="J61" s="296"/>
    </row>
    <row r="62" spans="1:12" x14ac:dyDescent="0.25">
      <c r="I62" s="52" t="s">
        <v>175</v>
      </c>
      <c r="J62" s="295">
        <f>K51</f>
        <v>0</v>
      </c>
    </row>
    <row r="63" spans="1:12" x14ac:dyDescent="0.25">
      <c r="I63" s="52" t="s">
        <v>176</v>
      </c>
      <c r="J63" s="295">
        <f>L51</f>
        <v>0</v>
      </c>
    </row>
    <row r="65" spans="1:11" ht="15.75" thickBot="1" x14ac:dyDescent="0.3"/>
    <row r="66" spans="1:11" ht="16.5" thickTop="1" thickBot="1" x14ac:dyDescent="0.3">
      <c r="A66" s="139" t="s">
        <v>177</v>
      </c>
      <c r="B66" s="140"/>
      <c r="C66" s="57"/>
      <c r="D66" s="139" t="s">
        <v>178</v>
      </c>
      <c r="H66" s="173">
        <f t="array" ref="H66">IF(ISERR(((J60+J63)/(J59+J62))*100),"",(((J60+J63)/(J59+J62))*100))</f>
        <v>56.200455580865608</v>
      </c>
      <c r="I66" s="26" t="s">
        <v>179</v>
      </c>
    </row>
    <row r="67" spans="1:11" ht="15.75" thickTop="1" x14ac:dyDescent="0.25">
      <c r="G67" s="52" t="s">
        <v>189</v>
      </c>
      <c r="H67" s="141" t="str">
        <f>IF(H66&lt;=63,"Bedding Quantity OK", "More Bedding Is Needed!")</f>
        <v>Bedding Quantity OK</v>
      </c>
    </row>
    <row r="68" spans="1:11" ht="15.75" thickBot="1" x14ac:dyDescent="0.3"/>
    <row r="69" spans="1:11" ht="16.5" thickTop="1" thickBot="1" x14ac:dyDescent="0.3">
      <c r="J69" s="126" t="s">
        <v>180</v>
      </c>
      <c r="K69" s="172">
        <f>I29+J51</f>
        <v>277.77777777777777</v>
      </c>
    </row>
    <row r="70" spans="1:11" ht="15.75" thickTop="1" x14ac:dyDescent="0.25"/>
    <row r="71" spans="1:11" x14ac:dyDescent="0.25">
      <c r="D71" s="26" t="s">
        <v>363</v>
      </c>
    </row>
    <row r="72" spans="1:11" x14ac:dyDescent="0.25">
      <c r="E72" t="s">
        <v>365</v>
      </c>
    </row>
    <row r="73" spans="1:11" ht="15.75" thickBot="1" x14ac:dyDescent="0.3">
      <c r="H73" t="s">
        <v>389</v>
      </c>
    </row>
    <row r="74" spans="1:11" ht="15.75" thickBot="1" x14ac:dyDescent="0.3">
      <c r="H74" s="244"/>
      <c r="I74" s="226" t="s">
        <v>364</v>
      </c>
      <c r="J74" s="227"/>
    </row>
    <row r="75" spans="1:11" ht="15.75" thickBot="1" x14ac:dyDescent="0.3">
      <c r="C75" t="s">
        <v>366</v>
      </c>
      <c r="F75" s="297">
        <f>J59-J60</f>
        <v>57876.28</v>
      </c>
      <c r="H75" s="365" t="s">
        <v>368</v>
      </c>
      <c r="I75" s="366"/>
      <c r="J75" s="367"/>
    </row>
    <row r="76" spans="1:11" ht="16.5" thickTop="1" thickBot="1" x14ac:dyDescent="0.3">
      <c r="C76" t="s">
        <v>372</v>
      </c>
      <c r="D76" t="s">
        <v>373</v>
      </c>
      <c r="F76" s="298">
        <f>F75*46.8/100</f>
        <v>27086.099039999997</v>
      </c>
      <c r="H76" s="365" t="s">
        <v>369</v>
      </c>
      <c r="I76" s="366"/>
      <c r="J76" s="367"/>
    </row>
    <row r="77" spans="1:11" ht="15.75" thickBot="1" x14ac:dyDescent="0.3">
      <c r="D77" t="s">
        <v>374</v>
      </c>
      <c r="F77" s="299">
        <f>F75*2.6/100</f>
        <v>1504.7832800000001</v>
      </c>
      <c r="H77" s="484" t="s">
        <v>367</v>
      </c>
      <c r="I77" s="485"/>
      <c r="J77" s="486"/>
    </row>
    <row r="78" spans="1:11" ht="16.5" thickTop="1" thickBot="1" x14ac:dyDescent="0.3">
      <c r="F78" s="296"/>
    </row>
    <row r="79" spans="1:11" ht="15.75" thickBot="1" x14ac:dyDescent="0.3">
      <c r="C79" t="s">
        <v>375</v>
      </c>
      <c r="F79" s="297">
        <f>J62-J63</f>
        <v>0</v>
      </c>
      <c r="H79" t="s">
        <v>388</v>
      </c>
    </row>
    <row r="80" spans="1:11" ht="16.5" thickTop="1" thickBot="1" x14ac:dyDescent="0.3">
      <c r="C80" t="s">
        <v>371</v>
      </c>
      <c r="D80" t="s">
        <v>373</v>
      </c>
      <c r="F80" s="298">
        <f>J81*F79/100</f>
        <v>0</v>
      </c>
      <c r="H80" s="244" t="s">
        <v>377</v>
      </c>
      <c r="I80" s="2"/>
      <c r="J80" s="246">
        <f>D52</f>
        <v>0</v>
      </c>
    </row>
    <row r="81" spans="2:10" ht="15.75" thickBot="1" x14ac:dyDescent="0.3">
      <c r="D81" t="s">
        <v>374</v>
      </c>
      <c r="F81" s="299">
        <f>F79*1/100</f>
        <v>0</v>
      </c>
      <c r="H81" s="231" t="s">
        <v>379</v>
      </c>
      <c r="I81" s="6"/>
      <c r="J81" s="248">
        <f>J80*1</f>
        <v>0</v>
      </c>
    </row>
    <row r="82" spans="2:10" ht="16.5" thickTop="1" thickBot="1" x14ac:dyDescent="0.3">
      <c r="H82" s="231" t="s">
        <v>378</v>
      </c>
      <c r="I82" s="6"/>
      <c r="J82" s="233"/>
    </row>
    <row r="83" spans="2:10" ht="15.75" thickBot="1" x14ac:dyDescent="0.3">
      <c r="D83" s="250" t="s">
        <v>380</v>
      </c>
      <c r="E83" s="247"/>
      <c r="F83" s="249">
        <f>IFERROR((F76+F80)/(F77+F81),0)</f>
        <v>17.999999999999996</v>
      </c>
      <c r="G83" s="26" t="s">
        <v>381</v>
      </c>
      <c r="H83" s="484" t="s">
        <v>367</v>
      </c>
      <c r="I83" s="485"/>
      <c r="J83" s="486"/>
    </row>
    <row r="85" spans="2:10" ht="15.75" thickBot="1" x14ac:dyDescent="0.3">
      <c r="H85" t="s">
        <v>370</v>
      </c>
    </row>
    <row r="86" spans="2:10" ht="15.75" thickTop="1" x14ac:dyDescent="0.25">
      <c r="B86" s="253" t="s">
        <v>362</v>
      </c>
      <c r="C86" s="62"/>
      <c r="D86" s="62"/>
      <c r="E86" s="62"/>
      <c r="F86" s="62"/>
      <c r="G86" s="62"/>
      <c r="H86" s="62"/>
      <c r="I86" s="63"/>
    </row>
    <row r="87" spans="2:10" x14ac:dyDescent="0.25">
      <c r="B87" s="64" t="s">
        <v>382</v>
      </c>
      <c r="C87" s="6"/>
      <c r="D87" s="6"/>
      <c r="E87" s="6"/>
      <c r="F87" s="6"/>
      <c r="G87" s="6"/>
      <c r="H87" s="6"/>
      <c r="I87" s="67"/>
    </row>
    <row r="88" spans="2:10" ht="15.75" thickBot="1" x14ac:dyDescent="0.3">
      <c r="B88" s="154" t="s">
        <v>383</v>
      </c>
      <c r="C88" s="72"/>
      <c r="D88" s="72"/>
      <c r="E88" s="72"/>
      <c r="F88" s="72"/>
      <c r="G88" s="72"/>
      <c r="H88" s="72"/>
      <c r="I88" s="73"/>
    </row>
    <row r="89" spans="2:10" ht="15.75" thickTop="1" x14ac:dyDescent="0.25">
      <c r="B89" s="26" t="s">
        <v>386</v>
      </c>
    </row>
    <row r="90" spans="2:10" x14ac:dyDescent="0.25">
      <c r="B90" s="26" t="s">
        <v>387</v>
      </c>
    </row>
    <row r="91" spans="2:10" x14ac:dyDescent="0.25">
      <c r="B91" s="26" t="s">
        <v>429</v>
      </c>
    </row>
  </sheetData>
  <sheetProtection sheet="1" objects="1" scenarios="1"/>
  <mergeCells count="34">
    <mergeCell ref="H75:J75"/>
    <mergeCell ref="H76:J76"/>
    <mergeCell ref="H77:J77"/>
    <mergeCell ref="H83:J83"/>
    <mergeCell ref="J26:J28"/>
    <mergeCell ref="I27:I28"/>
    <mergeCell ref="D27:D28"/>
    <mergeCell ref="E27:E28"/>
    <mergeCell ref="F27:F28"/>
    <mergeCell ref="G27:G28"/>
    <mergeCell ref="H27:H28"/>
    <mergeCell ref="A29:C29"/>
    <mergeCell ref="C34:D34"/>
    <mergeCell ref="F34:H37"/>
    <mergeCell ref="I34:J37"/>
    <mergeCell ref="A40:B42"/>
    <mergeCell ref="C40:C42"/>
    <mergeCell ref="D40:D42"/>
    <mergeCell ref="E40:E42"/>
    <mergeCell ref="F40:F42"/>
    <mergeCell ref="G40:G42"/>
    <mergeCell ref="L40:L42"/>
    <mergeCell ref="A50:B50"/>
    <mergeCell ref="H40:H42"/>
    <mergeCell ref="I40:I42"/>
    <mergeCell ref="J40:J42"/>
    <mergeCell ref="K40:K42"/>
    <mergeCell ref="A43:B43"/>
    <mergeCell ref="A44:B44"/>
    <mergeCell ref="A45:B45"/>
    <mergeCell ref="A46:B46"/>
    <mergeCell ref="A47:B47"/>
    <mergeCell ref="A48:B48"/>
    <mergeCell ref="A49:B49"/>
  </mergeCells>
  <pageMargins left="0.25" right="0.25" top="0.75" bottom="0.75" header="0.3" footer="0.3"/>
  <pageSetup scale="6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RefTable!$A$51:$A$58</xm:f>
          </x14:formula1>
          <xm:sqref>A43:B50</xm:sqref>
        </x14:dataValidation>
        <x14:dataValidation type="list" allowBlank="1" showInputMessage="1" showErrorMessage="1">
          <x14:formula1>
            <xm:f>RefTable!$D$62:$D$73</xm:f>
          </x14:formula1>
          <xm:sqref>E43:E50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6:P69"/>
  <sheetViews>
    <sheetView showZeros="0" tabSelected="1" zoomScaleNormal="100" workbookViewId="0">
      <selection activeCell="I40" sqref="I40:K40"/>
    </sheetView>
  </sheetViews>
  <sheetFormatPr defaultRowHeight="15" x14ac:dyDescent="0.25"/>
  <cols>
    <col min="4" max="4" width="11.28515625" customWidth="1"/>
    <col min="5" max="5" width="11" customWidth="1"/>
    <col min="7" max="7" width="11.5703125" customWidth="1"/>
    <col min="8" max="8" width="11.140625" customWidth="1"/>
    <col min="13" max="13" width="10" customWidth="1"/>
  </cols>
  <sheetData>
    <row r="6" spans="1:9" ht="18.75" x14ac:dyDescent="0.3">
      <c r="A6" s="142" t="s">
        <v>50</v>
      </c>
    </row>
    <row r="7" spans="1:9" ht="18.75" x14ac:dyDescent="0.3">
      <c r="A7" s="142" t="s">
        <v>51</v>
      </c>
    </row>
    <row r="8" spans="1:9" x14ac:dyDescent="0.25">
      <c r="A8" s="143" t="str">
        <f>Title!B10</f>
        <v>v. 1.3</v>
      </c>
    </row>
    <row r="10" spans="1:9" x14ac:dyDescent="0.25">
      <c r="A10" s="26" t="s">
        <v>54</v>
      </c>
      <c r="H10" s="26" t="s">
        <v>56</v>
      </c>
    </row>
    <row r="11" spans="1:9" x14ac:dyDescent="0.25">
      <c r="B11" s="52" t="s">
        <v>53</v>
      </c>
      <c r="C11" s="527" t="str">
        <f>Inventory!C2</f>
        <v>Susan Dorper</v>
      </c>
      <c r="D11" s="527"/>
      <c r="E11" s="527"/>
      <c r="F11" s="527"/>
      <c r="G11" s="50"/>
      <c r="H11" s="58" t="s">
        <v>55</v>
      </c>
      <c r="I11" s="157" t="str">
        <f>Inventory!I2</f>
        <v>JJC</v>
      </c>
    </row>
    <row r="12" spans="1:9" x14ac:dyDescent="0.25">
      <c r="B12" s="52" t="s">
        <v>58</v>
      </c>
      <c r="C12" s="528" t="str">
        <f>Inventory!C3</f>
        <v>Ewe PS Farm</v>
      </c>
      <c r="D12" s="528"/>
      <c r="E12" s="528"/>
      <c r="F12" s="528"/>
      <c r="H12" s="50"/>
      <c r="I12" s="53"/>
    </row>
    <row r="13" spans="1:9" x14ac:dyDescent="0.25">
      <c r="B13" s="52" t="s">
        <v>52</v>
      </c>
      <c r="C13" s="528">
        <f>Inventory!C4</f>
        <v>0</v>
      </c>
      <c r="D13" s="528"/>
      <c r="E13" s="528"/>
      <c r="F13" s="528"/>
      <c r="H13" s="58" t="s">
        <v>57</v>
      </c>
      <c r="I13" s="158">
        <f>Inventory!I4</f>
        <v>42775</v>
      </c>
    </row>
    <row r="16" spans="1:9" ht="15.75" thickBot="1" x14ac:dyDescent="0.3">
      <c r="C16" s="26" t="s">
        <v>182</v>
      </c>
    </row>
    <row r="17" spans="1:15" ht="15.75" thickBot="1" x14ac:dyDescent="0.3">
      <c r="J17" s="404" t="s">
        <v>69</v>
      </c>
    </row>
    <row r="18" spans="1:15" ht="15.75" thickBot="1" x14ac:dyDescent="0.3">
      <c r="C18" s="362" t="s">
        <v>5</v>
      </c>
      <c r="D18" s="364"/>
      <c r="E18" s="372" t="s">
        <v>6</v>
      </c>
      <c r="F18" s="385"/>
      <c r="G18" s="385"/>
      <c r="H18" s="373"/>
      <c r="I18" s="79" t="s">
        <v>73</v>
      </c>
      <c r="J18" s="405"/>
    </row>
    <row r="19" spans="1:15" x14ac:dyDescent="0.25">
      <c r="C19" s="515" t="str">
        <f>Inventory!A18</f>
        <v>Sheep</v>
      </c>
      <c r="D19" s="516"/>
      <c r="E19" s="521" t="str">
        <f>Inventory!C18</f>
        <v>Lamb (Market)</v>
      </c>
      <c r="F19" s="522"/>
      <c r="G19" s="522"/>
      <c r="H19" s="523"/>
      <c r="I19" s="300">
        <f>Inventory!G18</f>
        <v>80</v>
      </c>
      <c r="J19" s="144">
        <f>Inventory!H18</f>
        <v>25</v>
      </c>
    </row>
    <row r="20" spans="1:15" x14ac:dyDescent="0.25">
      <c r="C20" s="517" t="str">
        <f>Inventory!A19</f>
        <v>Goat</v>
      </c>
      <c r="D20" s="518"/>
      <c r="E20" s="524" t="str">
        <f>Inventory!C19</f>
        <v>Dry (pregnant)</v>
      </c>
      <c r="F20" s="525"/>
      <c r="G20" s="525"/>
      <c r="H20" s="526"/>
      <c r="I20" s="285">
        <f>Inventory!G19</f>
        <v>150</v>
      </c>
      <c r="J20" s="145">
        <f>Inventory!H19</f>
        <v>50</v>
      </c>
    </row>
    <row r="21" spans="1:15" x14ac:dyDescent="0.25">
      <c r="C21" s="517">
        <f>Inventory!A20</f>
        <v>0</v>
      </c>
      <c r="D21" s="518"/>
      <c r="E21" s="524">
        <f>Inventory!C20</f>
        <v>0</v>
      </c>
      <c r="F21" s="525"/>
      <c r="G21" s="525"/>
      <c r="H21" s="526"/>
      <c r="I21" s="285" t="str">
        <f>Inventory!G20</f>
        <v>0</v>
      </c>
      <c r="J21" s="145">
        <f>Inventory!H20</f>
        <v>0</v>
      </c>
    </row>
    <row r="22" spans="1:15" x14ac:dyDescent="0.25">
      <c r="C22" s="517">
        <f>Inventory!A21</f>
        <v>0</v>
      </c>
      <c r="D22" s="518"/>
      <c r="E22" s="524">
        <f>Inventory!C21</f>
        <v>0</v>
      </c>
      <c r="F22" s="525"/>
      <c r="G22" s="525"/>
      <c r="H22" s="526"/>
      <c r="I22" s="285" t="str">
        <f>Inventory!G21</f>
        <v>0</v>
      </c>
      <c r="J22" s="145">
        <f>Inventory!H21</f>
        <v>0</v>
      </c>
    </row>
    <row r="23" spans="1:15" x14ac:dyDescent="0.25">
      <c r="C23" s="517">
        <f>Inventory!A22</f>
        <v>0</v>
      </c>
      <c r="D23" s="518"/>
      <c r="E23" s="524">
        <f>Inventory!C22</f>
        <v>0</v>
      </c>
      <c r="F23" s="525"/>
      <c r="G23" s="525"/>
      <c r="H23" s="526"/>
      <c r="I23" s="285" t="str">
        <f>Inventory!G22</f>
        <v>0</v>
      </c>
      <c r="J23" s="145">
        <f>Inventory!H22</f>
        <v>0</v>
      </c>
    </row>
    <row r="24" spans="1:15" ht="15.75" thickBot="1" x14ac:dyDescent="0.3">
      <c r="C24" s="519">
        <f>Inventory!A23</f>
        <v>0</v>
      </c>
      <c r="D24" s="520"/>
      <c r="E24" s="512">
        <f>Inventory!C23</f>
        <v>0</v>
      </c>
      <c r="F24" s="513"/>
      <c r="G24" s="513"/>
      <c r="H24" s="514"/>
      <c r="I24" s="301" t="str">
        <f>Inventory!G23</f>
        <v>0</v>
      </c>
      <c r="J24" s="146">
        <f>Inventory!H23</f>
        <v>0</v>
      </c>
    </row>
    <row r="25" spans="1:15" ht="15.75" thickBot="1" x14ac:dyDescent="0.3"/>
    <row r="26" spans="1:15" ht="16.5" thickTop="1" thickBot="1" x14ac:dyDescent="0.3">
      <c r="A26" s="259" t="s">
        <v>391</v>
      </c>
      <c r="B26" s="260"/>
      <c r="C26" s="260"/>
      <c r="D26" s="261"/>
      <c r="F26" s="126" t="s">
        <v>392</v>
      </c>
      <c r="G26" s="302">
        <f>DeepBP_Facility!E28</f>
        <v>1250</v>
      </c>
      <c r="I26" s="262" t="s">
        <v>390</v>
      </c>
      <c r="J26" s="263"/>
      <c r="K26" s="263"/>
      <c r="L26" s="264"/>
      <c r="N26" s="126" t="s">
        <v>392</v>
      </c>
      <c r="O26" s="303">
        <f>'DeepBP-L_Facility'!F28</f>
        <v>1250</v>
      </c>
    </row>
    <row r="27" spans="1:15" ht="15.75" thickBot="1" x14ac:dyDescent="0.3"/>
    <row r="28" spans="1:15" ht="15.75" thickBot="1" x14ac:dyDescent="0.3">
      <c r="A28" s="425" t="s">
        <v>395</v>
      </c>
      <c r="B28" s="504"/>
      <c r="C28" s="504"/>
      <c r="D28" s="426"/>
      <c r="E28" s="425" t="s">
        <v>158</v>
      </c>
      <c r="F28" s="426"/>
      <c r="I28" s="425" t="s">
        <v>395</v>
      </c>
      <c r="J28" s="504"/>
      <c r="K28" s="504"/>
      <c r="L28" s="426"/>
      <c r="M28" s="425" t="s">
        <v>158</v>
      </c>
      <c r="N28" s="426"/>
    </row>
    <row r="29" spans="1:15" ht="15" customHeight="1" x14ac:dyDescent="0.25">
      <c r="A29" s="421" t="s">
        <v>143</v>
      </c>
      <c r="B29" s="494"/>
      <c r="C29" s="421" t="s">
        <v>144</v>
      </c>
      <c r="D29" s="494"/>
      <c r="E29" s="421" t="s">
        <v>159</v>
      </c>
      <c r="F29" s="494"/>
      <c r="I29" s="421" t="s">
        <v>143</v>
      </c>
      <c r="J29" s="494"/>
      <c r="K29" s="421" t="s">
        <v>144</v>
      </c>
      <c r="L29" s="494"/>
      <c r="M29" s="421" t="s">
        <v>159</v>
      </c>
      <c r="N29" s="494"/>
    </row>
    <row r="30" spans="1:15" ht="15.75" thickBot="1" x14ac:dyDescent="0.3">
      <c r="A30" s="495"/>
      <c r="B30" s="496"/>
      <c r="C30" s="495"/>
      <c r="D30" s="496"/>
      <c r="E30" s="495"/>
      <c r="F30" s="496"/>
      <c r="I30" s="495"/>
      <c r="J30" s="496"/>
      <c r="K30" s="495"/>
      <c r="L30" s="496"/>
      <c r="M30" s="495"/>
      <c r="N30" s="496"/>
    </row>
    <row r="31" spans="1:15" ht="15.75" thickBot="1" x14ac:dyDescent="0.3">
      <c r="A31" s="497">
        <f>DeepBP_Facility!H49</f>
        <v>132139</v>
      </c>
      <c r="B31" s="498"/>
      <c r="C31" s="497">
        <f>DeepBP_Facility!I49</f>
        <v>2239.44</v>
      </c>
      <c r="D31" s="498"/>
      <c r="E31" s="529">
        <f>DeepBP_Facility!J49</f>
        <v>74262.720000000001</v>
      </c>
      <c r="F31" s="529"/>
      <c r="I31" s="497">
        <f>'DeepBP-L_Facility'!H62</f>
        <v>132139</v>
      </c>
      <c r="J31" s="498"/>
      <c r="K31" s="497">
        <f>'DeepBP-L_Facility'!I62</f>
        <v>2239.44</v>
      </c>
      <c r="L31" s="498"/>
      <c r="M31" s="497">
        <f>'DeepBP-L_Facility'!J62</f>
        <v>74262.720000000001</v>
      </c>
      <c r="N31" s="498"/>
    </row>
    <row r="32" spans="1:15" ht="16.5" thickTop="1" thickBot="1" x14ac:dyDescent="0.3">
      <c r="I32" s="505" t="s">
        <v>393</v>
      </c>
      <c r="J32" s="430"/>
      <c r="K32" s="430"/>
      <c r="L32" s="506"/>
    </row>
    <row r="33" spans="1:15" ht="15" customHeight="1" thickBot="1" x14ac:dyDescent="0.3">
      <c r="I33" s="507" t="s">
        <v>394</v>
      </c>
      <c r="J33" s="508"/>
      <c r="K33" s="497">
        <f>'DeepBP-L_Facility'!G62</f>
        <v>0</v>
      </c>
      <c r="L33" s="498"/>
    </row>
    <row r="34" spans="1:15" ht="15" customHeight="1" thickBot="1" x14ac:dyDescent="0.3">
      <c r="I34" s="255"/>
      <c r="J34" s="255"/>
      <c r="K34" s="252"/>
      <c r="L34" s="252"/>
    </row>
    <row r="35" spans="1:15" ht="15" customHeight="1" thickBot="1" x14ac:dyDescent="0.3">
      <c r="A35" s="259" t="s">
        <v>396</v>
      </c>
      <c r="B35" s="260"/>
      <c r="C35" s="260"/>
      <c r="D35" s="261"/>
      <c r="I35" s="509" t="s">
        <v>399</v>
      </c>
      <c r="J35" s="510"/>
      <c r="K35" s="510"/>
      <c r="L35" s="511"/>
    </row>
    <row r="36" spans="1:15" ht="15.75" customHeight="1" thickBot="1" x14ac:dyDescent="0.3">
      <c r="C36" s="129" t="s">
        <v>397</v>
      </c>
      <c r="F36" s="499" t="s">
        <v>163</v>
      </c>
      <c r="G36" s="500"/>
      <c r="K36" s="129" t="s">
        <v>397</v>
      </c>
      <c r="N36" s="499" t="s">
        <v>163</v>
      </c>
      <c r="O36" s="500"/>
    </row>
    <row r="37" spans="1:15" ht="15.75" thickBot="1" x14ac:dyDescent="0.3">
      <c r="F37" s="159">
        <f>DeepBP_Material!I29</f>
        <v>277.77777777777777</v>
      </c>
      <c r="G37" s="160"/>
      <c r="N37" s="159">
        <f>'DeepBP-L_Material'!I29</f>
        <v>277.77777777777777</v>
      </c>
      <c r="O37" s="160"/>
    </row>
    <row r="38" spans="1:15" ht="16.5" thickTop="1" thickBot="1" x14ac:dyDescent="0.3">
      <c r="A38" s="26" t="s">
        <v>184</v>
      </c>
      <c r="I38" s="26" t="s">
        <v>184</v>
      </c>
    </row>
    <row r="39" spans="1:15" ht="32.25" customHeight="1" thickBot="1" x14ac:dyDescent="0.3">
      <c r="A39" s="501" t="s">
        <v>166</v>
      </c>
      <c r="B39" s="502"/>
      <c r="C39" s="503"/>
      <c r="D39" s="148" t="s">
        <v>398</v>
      </c>
      <c r="I39" s="501" t="s">
        <v>166</v>
      </c>
      <c r="J39" s="502"/>
      <c r="K39" s="503"/>
      <c r="L39" s="148" t="s">
        <v>398</v>
      </c>
    </row>
    <row r="40" spans="1:15" x14ac:dyDescent="0.25">
      <c r="A40" s="531" t="str">
        <f>DeepBP_Material!A43</f>
        <v>Hay - Bedding hay</v>
      </c>
      <c r="B40" s="531"/>
      <c r="C40" s="531"/>
      <c r="D40" s="256">
        <f>DeepBP_Material!J43</f>
        <v>175</v>
      </c>
      <c r="F40" s="149" t="s">
        <v>185</v>
      </c>
      <c r="I40" s="531">
        <f>'DeepBP-L_Material'!A43</f>
        <v>0</v>
      </c>
      <c r="J40" s="531"/>
      <c r="K40" s="531"/>
      <c r="L40" s="256" t="str">
        <f>'DeepBP-L_Material'!J43</f>
        <v>0</v>
      </c>
      <c r="N40" s="149" t="s">
        <v>185</v>
      </c>
    </row>
    <row r="41" spans="1:15" ht="15.75" thickBot="1" x14ac:dyDescent="0.3">
      <c r="A41" s="530">
        <f>DeepBP_Material!A44</f>
        <v>0</v>
      </c>
      <c r="B41" s="530"/>
      <c r="C41" s="530"/>
      <c r="D41" s="258" t="str">
        <f>DeepBP_Material!J44</f>
        <v>0</v>
      </c>
      <c r="F41" s="149" t="s">
        <v>186</v>
      </c>
      <c r="I41" s="530">
        <f>'DeepBP-L_Material'!A44</f>
        <v>0</v>
      </c>
      <c r="J41" s="530"/>
      <c r="K41" s="530"/>
      <c r="L41" s="257" t="str">
        <f>'DeepBP-L_Material'!J44</f>
        <v>0</v>
      </c>
      <c r="N41" s="149" t="s">
        <v>186</v>
      </c>
    </row>
    <row r="42" spans="1:15" ht="16.5" thickTop="1" thickBot="1" x14ac:dyDescent="0.3">
      <c r="A42" s="530">
        <f>DeepBP_Material!A45</f>
        <v>0</v>
      </c>
      <c r="B42" s="530"/>
      <c r="C42" s="530"/>
      <c r="D42" s="257" t="str">
        <f>DeepBP_Material!J45</f>
        <v>0</v>
      </c>
      <c r="F42" s="532">
        <f>DeepBP_Material!K69</f>
        <v>452.77777777777777</v>
      </c>
      <c r="G42" s="533"/>
      <c r="I42" s="530">
        <f>'DeepBP-L_Material'!A45</f>
        <v>0</v>
      </c>
      <c r="J42" s="530"/>
      <c r="K42" s="530"/>
      <c r="L42" s="257" t="str">
        <f>'DeepBP-L_Material'!J45</f>
        <v>0</v>
      </c>
      <c r="N42" s="532">
        <f>'DeepBP-L_Material'!K69</f>
        <v>277.77777777777777</v>
      </c>
      <c r="O42" s="533"/>
    </row>
    <row r="43" spans="1:15" ht="15.75" thickTop="1" x14ac:dyDescent="0.25">
      <c r="A43" s="530">
        <f>DeepBP_Material!A46</f>
        <v>0</v>
      </c>
      <c r="B43" s="530"/>
      <c r="C43" s="530"/>
      <c r="D43" s="257" t="str">
        <f>DeepBP_Material!J46</f>
        <v>0</v>
      </c>
      <c r="I43" s="530">
        <f>'DeepBP-L_Material'!A46</f>
        <v>0</v>
      </c>
      <c r="J43" s="530"/>
      <c r="K43" s="530"/>
      <c r="L43" s="257" t="str">
        <f>'DeepBP-L_Material'!J46</f>
        <v>0</v>
      </c>
    </row>
    <row r="44" spans="1:15" ht="15.75" thickBot="1" x14ac:dyDescent="0.3">
      <c r="A44" s="530">
        <f>DeepBP_Material!A47</f>
        <v>0</v>
      </c>
      <c r="B44" s="530"/>
      <c r="C44" s="530"/>
      <c r="D44" s="257" t="str">
        <f>DeepBP_Material!J47</f>
        <v>0</v>
      </c>
      <c r="F44" s="254" t="s">
        <v>400</v>
      </c>
      <c r="I44" s="530">
        <f>'DeepBP-L_Material'!A47</f>
        <v>0</v>
      </c>
      <c r="J44" s="530"/>
      <c r="K44" s="530"/>
      <c r="L44" s="257" t="str">
        <f>'DeepBP-L_Material'!J47</f>
        <v>0</v>
      </c>
      <c r="N44" s="254" t="s">
        <v>402</v>
      </c>
    </row>
    <row r="45" spans="1:15" ht="16.5" thickTop="1" thickBot="1" x14ac:dyDescent="0.3">
      <c r="A45" s="530">
        <f>DeepBP_Material!A48</f>
        <v>0</v>
      </c>
      <c r="B45" s="530"/>
      <c r="C45" s="530"/>
      <c r="D45" s="257" t="str">
        <f>DeepBP_Material!J48</f>
        <v>0</v>
      </c>
      <c r="F45" s="147">
        <f>DeepBP_Material!H66</f>
        <v>54.760809156163624</v>
      </c>
      <c r="I45" s="530">
        <f>'DeepBP-L_Material'!A48</f>
        <v>0</v>
      </c>
      <c r="J45" s="530"/>
      <c r="K45" s="530"/>
      <c r="L45" s="257" t="str">
        <f>'DeepBP-L_Material'!J48</f>
        <v>0</v>
      </c>
      <c r="N45" s="147">
        <f>'DeepBP-L_Material'!H66</f>
        <v>56.200455580865608</v>
      </c>
    </row>
    <row r="46" spans="1:15" ht="16.5" thickTop="1" thickBot="1" x14ac:dyDescent="0.3">
      <c r="A46" s="530">
        <f>DeepBP_Material!A49</f>
        <v>0</v>
      </c>
      <c r="B46" s="530"/>
      <c r="C46" s="530"/>
      <c r="D46" s="150" t="str">
        <f>DeepBP_Material!J49</f>
        <v>0</v>
      </c>
      <c r="F46" s="254" t="s">
        <v>401</v>
      </c>
      <c r="I46" s="530">
        <f>'DeepBP-L_Material'!A49</f>
        <v>0</v>
      </c>
      <c r="J46" s="530"/>
      <c r="K46" s="530"/>
      <c r="L46" s="257" t="str">
        <f>'DeepBP-L_Material'!J49</f>
        <v>0</v>
      </c>
      <c r="N46" s="254" t="s">
        <v>401</v>
      </c>
    </row>
    <row r="47" spans="1:15" ht="16.5" thickTop="1" thickBot="1" x14ac:dyDescent="0.3">
      <c r="A47" s="530">
        <f>DeepBP_Material!A50</f>
        <v>0</v>
      </c>
      <c r="B47" s="530"/>
      <c r="C47" s="530"/>
      <c r="D47" s="150" t="str">
        <f>DeepBP_Material!J50</f>
        <v>0</v>
      </c>
      <c r="F47" s="147">
        <f>DeepBP_Material!F83</f>
        <v>18.297466040395445</v>
      </c>
      <c r="G47" s="26" t="s">
        <v>381</v>
      </c>
      <c r="I47" s="530">
        <f>'DeepBP-L_Material'!A50</f>
        <v>0</v>
      </c>
      <c r="J47" s="530"/>
      <c r="K47" s="530"/>
      <c r="L47" s="150" t="str">
        <f>'DeepBP-L_Material'!J50</f>
        <v>0</v>
      </c>
      <c r="N47" s="147">
        <f>'DeepBP-L_Material'!F83</f>
        <v>17.999999999999996</v>
      </c>
      <c r="O47" s="26" t="s">
        <v>381</v>
      </c>
    </row>
    <row r="48" spans="1:15" ht="15.75" thickTop="1" x14ac:dyDescent="0.25"/>
    <row r="50" spans="2:10" x14ac:dyDescent="0.25">
      <c r="B50" s="26" t="s">
        <v>403</v>
      </c>
    </row>
    <row r="62" spans="2:10" ht="15.75" thickBot="1" x14ac:dyDescent="0.3">
      <c r="E62" s="26" t="s">
        <v>430</v>
      </c>
    </row>
    <row r="63" spans="2:10" ht="30" customHeight="1" thickBot="1" x14ac:dyDescent="0.3">
      <c r="F63" s="538" t="s">
        <v>437</v>
      </c>
      <c r="G63" s="539"/>
      <c r="H63" s="539"/>
      <c r="I63" s="539"/>
      <c r="J63" s="540"/>
    </row>
    <row r="64" spans="2:10" x14ac:dyDescent="0.25">
      <c r="F64" s="315" t="s">
        <v>433</v>
      </c>
      <c r="G64" s="534" t="s">
        <v>434</v>
      </c>
      <c r="H64" s="535"/>
      <c r="I64" s="536" t="s">
        <v>435</v>
      </c>
      <c r="J64" s="537"/>
    </row>
    <row r="65" spans="6:16" ht="15.75" thickBot="1" x14ac:dyDescent="0.3">
      <c r="F65" s="316" t="s">
        <v>436</v>
      </c>
      <c r="G65" s="541" t="s">
        <v>438</v>
      </c>
      <c r="H65" s="542"/>
      <c r="I65" s="541" t="s">
        <v>439</v>
      </c>
      <c r="J65" s="542"/>
    </row>
    <row r="66" spans="6:16" ht="15.75" thickTop="1" x14ac:dyDescent="0.25">
      <c r="F66" s="317">
        <v>0.25</v>
      </c>
      <c r="G66" s="311">
        <v>21</v>
      </c>
      <c r="H66" s="312">
        <v>0.75</v>
      </c>
      <c r="I66" s="313">
        <v>908</v>
      </c>
      <c r="J66" s="318">
        <v>34</v>
      </c>
    </row>
    <row r="67" spans="6:16" x14ac:dyDescent="0.25">
      <c r="F67" s="319">
        <v>0.5</v>
      </c>
      <c r="G67" s="309">
        <v>41</v>
      </c>
      <c r="H67" s="310">
        <v>1.5</v>
      </c>
      <c r="I67" s="314">
        <v>1815</v>
      </c>
      <c r="J67" s="320">
        <v>67</v>
      </c>
    </row>
    <row r="68" spans="6:16" ht="15.75" thickBot="1" x14ac:dyDescent="0.3">
      <c r="F68" s="321">
        <v>1</v>
      </c>
      <c r="G68" s="322">
        <v>83</v>
      </c>
      <c r="H68" s="323">
        <v>3.1</v>
      </c>
      <c r="I68" s="324">
        <v>3630</v>
      </c>
      <c r="J68" s="325">
        <v>134</v>
      </c>
    </row>
    <row r="69" spans="6:16" x14ac:dyDescent="0.25">
      <c r="P69" t="s">
        <v>432</v>
      </c>
    </row>
  </sheetData>
  <sheetProtection sheet="1" objects="1" scenarios="1"/>
  <mergeCells count="65">
    <mergeCell ref="G64:H64"/>
    <mergeCell ref="I64:J64"/>
    <mergeCell ref="F63:J63"/>
    <mergeCell ref="G65:H65"/>
    <mergeCell ref="I65:J65"/>
    <mergeCell ref="I45:K45"/>
    <mergeCell ref="I46:K46"/>
    <mergeCell ref="I47:K47"/>
    <mergeCell ref="N42:O42"/>
    <mergeCell ref="F42:G42"/>
    <mergeCell ref="I40:K40"/>
    <mergeCell ref="I41:K41"/>
    <mergeCell ref="I42:K42"/>
    <mergeCell ref="I43:K43"/>
    <mergeCell ref="I44:K44"/>
    <mergeCell ref="A31:B31"/>
    <mergeCell ref="C31:D31"/>
    <mergeCell ref="E31:F31"/>
    <mergeCell ref="A47:C47"/>
    <mergeCell ref="A39:C39"/>
    <mergeCell ref="A40:C40"/>
    <mergeCell ref="A41:C41"/>
    <mergeCell ref="A42:C42"/>
    <mergeCell ref="A43:C43"/>
    <mergeCell ref="A44:C44"/>
    <mergeCell ref="A45:C45"/>
    <mergeCell ref="A46:C46"/>
    <mergeCell ref="A28:D28"/>
    <mergeCell ref="E28:F28"/>
    <mergeCell ref="A29:B30"/>
    <mergeCell ref="C29:D30"/>
    <mergeCell ref="E29:F30"/>
    <mergeCell ref="C11:F11"/>
    <mergeCell ref="C12:F12"/>
    <mergeCell ref="C13:F13"/>
    <mergeCell ref="J17:J18"/>
    <mergeCell ref="C18:D18"/>
    <mergeCell ref="E18:H18"/>
    <mergeCell ref="E24:H24"/>
    <mergeCell ref="C19:D19"/>
    <mergeCell ref="C20:D20"/>
    <mergeCell ref="C21:D21"/>
    <mergeCell ref="C22:D22"/>
    <mergeCell ref="C23:D23"/>
    <mergeCell ref="C24:D24"/>
    <mergeCell ref="E19:H19"/>
    <mergeCell ref="E20:H20"/>
    <mergeCell ref="E21:H21"/>
    <mergeCell ref="E22:H22"/>
    <mergeCell ref="E23:H23"/>
    <mergeCell ref="M28:N28"/>
    <mergeCell ref="M29:N30"/>
    <mergeCell ref="M31:N31"/>
    <mergeCell ref="F36:G36"/>
    <mergeCell ref="I39:K39"/>
    <mergeCell ref="K29:L30"/>
    <mergeCell ref="I29:J30"/>
    <mergeCell ref="I28:L28"/>
    <mergeCell ref="K31:L31"/>
    <mergeCell ref="I31:J31"/>
    <mergeCell ref="I32:L32"/>
    <mergeCell ref="I33:J33"/>
    <mergeCell ref="N36:O36"/>
    <mergeCell ref="I35:L35"/>
    <mergeCell ref="K33:L33"/>
  </mergeCells>
  <pageMargins left="0.25" right="0.25" top="0.75" bottom="0.75" header="0.3" footer="0.3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PrintCurrentSheet">
                <anchor moveWithCells="1" sizeWithCells="1">
                  <from>
                    <xdr:col>5</xdr:col>
                    <xdr:colOff>19050</xdr:colOff>
                    <xdr:row>6</xdr:row>
                    <xdr:rowOff>0</xdr:rowOff>
                  </from>
                  <to>
                    <xdr:col>6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45"/>
  <sheetViews>
    <sheetView topLeftCell="A112" zoomScale="85" zoomScaleNormal="85" workbookViewId="0">
      <selection activeCell="B84" sqref="B84"/>
    </sheetView>
  </sheetViews>
  <sheetFormatPr defaultRowHeight="15" x14ac:dyDescent="0.25"/>
  <cols>
    <col min="1" max="1" width="31.7109375" customWidth="1"/>
    <col min="2" max="2" width="10.140625" customWidth="1"/>
    <col min="3" max="3" width="10" customWidth="1"/>
    <col min="4" max="4" width="12.7109375" customWidth="1"/>
    <col min="7" max="7" width="10.5703125" customWidth="1"/>
    <col min="8" max="8" width="11.42578125" customWidth="1"/>
    <col min="9" max="9" width="11.85546875" customWidth="1"/>
    <col min="11" max="11" width="10.140625" customWidth="1"/>
    <col min="12" max="12" width="28" customWidth="1"/>
    <col min="13" max="13" width="15.5703125" customWidth="1"/>
  </cols>
  <sheetData>
    <row r="1" spans="1:10" ht="15.75" thickBot="1" x14ac:dyDescent="0.3">
      <c r="A1" t="s">
        <v>0</v>
      </c>
    </row>
    <row r="2" spans="1:10" ht="15.75" customHeight="1" thickBot="1" x14ac:dyDescent="0.3">
      <c r="G2" s="551" t="s">
        <v>1</v>
      </c>
    </row>
    <row r="3" spans="1:10" ht="16.5" customHeight="1" thickBot="1" x14ac:dyDescent="0.3">
      <c r="A3" s="1" t="s">
        <v>2</v>
      </c>
      <c r="B3" s="2"/>
      <c r="C3" s="2"/>
      <c r="D3" s="2"/>
      <c r="E3" s="2"/>
      <c r="F3" s="2"/>
      <c r="G3" s="552"/>
      <c r="H3" s="554" t="s">
        <v>3</v>
      </c>
      <c r="I3" s="554"/>
      <c r="J3" s="555"/>
    </row>
    <row r="4" spans="1:10" ht="16.5" thickBot="1" x14ac:dyDescent="0.3">
      <c r="A4" s="3"/>
      <c r="B4" s="4"/>
      <c r="C4" s="5"/>
      <c r="D4" s="6"/>
      <c r="E4" s="556" t="s">
        <v>87</v>
      </c>
      <c r="F4" s="557"/>
      <c r="G4" s="552"/>
      <c r="H4" s="560" t="s">
        <v>4</v>
      </c>
      <c r="I4" s="560"/>
      <c r="J4" s="561"/>
    </row>
    <row r="5" spans="1:10" ht="15.75" thickBot="1" x14ac:dyDescent="0.3">
      <c r="A5" s="81" t="s">
        <v>5</v>
      </c>
      <c r="B5" s="82"/>
      <c r="C5" s="81" t="s">
        <v>6</v>
      </c>
      <c r="D5" s="83"/>
      <c r="E5" s="558"/>
      <c r="F5" s="559"/>
      <c r="G5" s="553"/>
      <c r="H5" s="7" t="s">
        <v>7</v>
      </c>
      <c r="I5" s="8" t="s">
        <v>8</v>
      </c>
      <c r="J5" s="8" t="s">
        <v>9</v>
      </c>
    </row>
    <row r="6" spans="1:10" x14ac:dyDescent="0.25">
      <c r="A6" s="601" t="s">
        <v>82</v>
      </c>
      <c r="B6" s="602"/>
      <c r="C6" s="603" t="s">
        <v>75</v>
      </c>
      <c r="D6" s="603"/>
      <c r="E6" s="363">
        <v>1400</v>
      </c>
      <c r="F6" s="364"/>
      <c r="G6" s="9">
        <v>120</v>
      </c>
      <c r="H6" s="10">
        <v>65</v>
      </c>
      <c r="I6" s="11">
        <v>1.1000000000000001</v>
      </c>
      <c r="J6" s="11">
        <v>87</v>
      </c>
    </row>
    <row r="7" spans="1:10" x14ac:dyDescent="0.25">
      <c r="A7" s="592" t="s">
        <v>82</v>
      </c>
      <c r="B7" s="593"/>
      <c r="C7" s="577" t="s">
        <v>74</v>
      </c>
      <c r="D7" s="577"/>
      <c r="E7" s="366">
        <v>1400</v>
      </c>
      <c r="F7" s="367"/>
      <c r="G7" s="9">
        <v>120</v>
      </c>
      <c r="H7" s="12">
        <v>80</v>
      </c>
      <c r="I7" s="11">
        <v>1.3</v>
      </c>
      <c r="J7" s="11">
        <v>87</v>
      </c>
    </row>
    <row r="8" spans="1:10" x14ac:dyDescent="0.25">
      <c r="A8" s="592" t="s">
        <v>82</v>
      </c>
      <c r="B8" s="593"/>
      <c r="C8" s="577" t="s">
        <v>76</v>
      </c>
      <c r="D8" s="577"/>
      <c r="E8" s="366">
        <v>1400</v>
      </c>
      <c r="F8" s="367"/>
      <c r="G8" s="9">
        <v>120</v>
      </c>
      <c r="H8" s="12">
        <v>88</v>
      </c>
      <c r="I8" s="11">
        <v>1.5</v>
      </c>
      <c r="J8" s="11">
        <v>87</v>
      </c>
    </row>
    <row r="9" spans="1:10" x14ac:dyDescent="0.25">
      <c r="A9" s="592" t="s">
        <v>82</v>
      </c>
      <c r="B9" s="593"/>
      <c r="C9" s="577" t="s">
        <v>77</v>
      </c>
      <c r="D9" s="577"/>
      <c r="E9" s="366">
        <v>1400</v>
      </c>
      <c r="F9" s="367"/>
      <c r="G9" s="9">
        <v>120</v>
      </c>
      <c r="H9" s="13">
        <v>97</v>
      </c>
      <c r="I9" s="11">
        <v>1.6</v>
      </c>
      <c r="J9" s="11">
        <v>87</v>
      </c>
    </row>
    <row r="10" spans="1:10" x14ac:dyDescent="0.25">
      <c r="A10" s="592" t="s">
        <v>82</v>
      </c>
      <c r="B10" s="593"/>
      <c r="C10" s="577" t="s">
        <v>78</v>
      </c>
      <c r="D10" s="577"/>
      <c r="E10" s="366">
        <v>1400</v>
      </c>
      <c r="F10" s="367"/>
      <c r="G10" s="9">
        <v>120</v>
      </c>
      <c r="H10" s="12">
        <v>102</v>
      </c>
      <c r="I10" s="11">
        <v>1.65</v>
      </c>
      <c r="J10" s="11">
        <v>87</v>
      </c>
    </row>
    <row r="11" spans="1:10" x14ac:dyDescent="0.25">
      <c r="A11" s="592" t="s">
        <v>82</v>
      </c>
      <c r="B11" s="593"/>
      <c r="C11" s="577" t="s">
        <v>79</v>
      </c>
      <c r="D11" s="577"/>
      <c r="E11" s="366">
        <v>1400</v>
      </c>
      <c r="F11" s="367"/>
      <c r="G11" s="9">
        <v>120</v>
      </c>
      <c r="H11" s="13">
        <v>108</v>
      </c>
      <c r="I11" s="11">
        <v>1.7</v>
      </c>
      <c r="J11" s="11">
        <v>87</v>
      </c>
    </row>
    <row r="12" spans="1:10" x14ac:dyDescent="0.25">
      <c r="A12" s="592" t="s">
        <v>82</v>
      </c>
      <c r="B12" s="593"/>
      <c r="C12" s="577" t="s">
        <v>80</v>
      </c>
      <c r="D12" s="577"/>
      <c r="E12" s="366">
        <v>1400</v>
      </c>
      <c r="F12" s="367"/>
      <c r="G12" s="9">
        <v>120</v>
      </c>
      <c r="H12" s="13">
        <v>119</v>
      </c>
      <c r="I12" s="11">
        <v>1.9</v>
      </c>
      <c r="J12" s="11">
        <v>87</v>
      </c>
    </row>
    <row r="13" spans="1:10" x14ac:dyDescent="0.25">
      <c r="A13" s="582" t="s">
        <v>82</v>
      </c>
      <c r="B13" s="582"/>
      <c r="C13" s="582" t="s">
        <v>81</v>
      </c>
      <c r="D13" s="582"/>
      <c r="E13" s="568">
        <v>1400</v>
      </c>
      <c r="F13" s="569"/>
      <c r="G13" s="14">
        <v>120</v>
      </c>
      <c r="H13" s="15">
        <v>130</v>
      </c>
      <c r="I13" s="15">
        <v>2.1</v>
      </c>
      <c r="J13" s="15">
        <v>87</v>
      </c>
    </row>
    <row r="14" spans="1:10" x14ac:dyDescent="0.25">
      <c r="A14" s="592" t="s">
        <v>82</v>
      </c>
      <c r="B14" s="593"/>
      <c r="C14" s="585" t="s">
        <v>83</v>
      </c>
      <c r="D14" s="585"/>
      <c r="E14" s="570">
        <v>1660</v>
      </c>
      <c r="F14" s="571"/>
      <c r="G14" s="9">
        <v>120</v>
      </c>
      <c r="H14" s="13">
        <v>51</v>
      </c>
      <c r="I14" s="11">
        <v>0.84</v>
      </c>
      <c r="J14" s="11">
        <v>87</v>
      </c>
    </row>
    <row r="15" spans="1:10" x14ac:dyDescent="0.25">
      <c r="A15" s="592" t="s">
        <v>82</v>
      </c>
      <c r="B15" s="593"/>
      <c r="C15" s="577" t="s">
        <v>86</v>
      </c>
      <c r="D15" s="577"/>
      <c r="E15" s="366">
        <v>850</v>
      </c>
      <c r="F15" s="367"/>
      <c r="G15" s="9">
        <v>60</v>
      </c>
      <c r="H15" s="13">
        <v>56</v>
      </c>
      <c r="I15" s="11">
        <v>0.9</v>
      </c>
      <c r="J15" s="11">
        <v>83</v>
      </c>
    </row>
    <row r="16" spans="1:10" x14ac:dyDescent="0.25">
      <c r="A16" s="596" t="s">
        <v>82</v>
      </c>
      <c r="B16" s="597"/>
      <c r="C16" s="582" t="s">
        <v>84</v>
      </c>
      <c r="D16" s="582"/>
      <c r="E16" s="568">
        <v>330</v>
      </c>
      <c r="F16" s="569"/>
      <c r="G16" s="14">
        <v>40</v>
      </c>
      <c r="H16" s="15">
        <v>83</v>
      </c>
      <c r="I16" s="80">
        <v>1.3</v>
      </c>
      <c r="J16" s="80">
        <v>83</v>
      </c>
    </row>
    <row r="17" spans="1:10" x14ac:dyDescent="0.25">
      <c r="A17" s="583" t="s">
        <v>85</v>
      </c>
      <c r="B17" s="584"/>
      <c r="C17" s="585" t="s">
        <v>75</v>
      </c>
      <c r="D17" s="585"/>
      <c r="E17" s="570">
        <v>900</v>
      </c>
      <c r="F17" s="571"/>
      <c r="G17" s="9">
        <v>100</v>
      </c>
      <c r="H17" s="12">
        <v>100</v>
      </c>
      <c r="I17" s="11">
        <v>1.6</v>
      </c>
      <c r="J17" s="11">
        <v>87</v>
      </c>
    </row>
    <row r="18" spans="1:10" x14ac:dyDescent="0.25">
      <c r="A18" s="592" t="s">
        <v>85</v>
      </c>
      <c r="B18" s="593"/>
      <c r="C18" s="577" t="s">
        <v>74</v>
      </c>
      <c r="D18" s="577"/>
      <c r="E18" s="366">
        <v>900</v>
      </c>
      <c r="F18" s="367"/>
      <c r="G18" s="9">
        <v>100</v>
      </c>
      <c r="H18" s="13">
        <v>111</v>
      </c>
      <c r="I18" s="11">
        <v>1.7</v>
      </c>
      <c r="J18" s="11">
        <v>87</v>
      </c>
    </row>
    <row r="19" spans="1:10" x14ac:dyDescent="0.25">
      <c r="A19" s="592" t="s">
        <v>85</v>
      </c>
      <c r="B19" s="593"/>
      <c r="C19" s="577" t="s">
        <v>76</v>
      </c>
      <c r="D19" s="577"/>
      <c r="E19" s="366">
        <v>900</v>
      </c>
      <c r="F19" s="367"/>
      <c r="G19" s="9">
        <v>100</v>
      </c>
      <c r="H19" s="13">
        <v>116</v>
      </c>
      <c r="I19" s="11">
        <v>1.9</v>
      </c>
      <c r="J19" s="11">
        <v>87</v>
      </c>
    </row>
    <row r="20" spans="1:10" x14ac:dyDescent="0.25">
      <c r="A20" s="592" t="s">
        <v>85</v>
      </c>
      <c r="B20" s="593"/>
      <c r="C20" s="577" t="s">
        <v>77</v>
      </c>
      <c r="D20" s="577"/>
      <c r="E20" s="366">
        <v>900</v>
      </c>
      <c r="F20" s="367"/>
      <c r="G20" s="9">
        <v>100</v>
      </c>
      <c r="H20" s="13">
        <v>123</v>
      </c>
      <c r="I20" s="11">
        <v>2</v>
      </c>
      <c r="J20" s="11">
        <v>87</v>
      </c>
    </row>
    <row r="21" spans="1:10" x14ac:dyDescent="0.25">
      <c r="A21" s="592" t="s">
        <v>85</v>
      </c>
      <c r="B21" s="593"/>
      <c r="C21" s="577" t="s">
        <v>78</v>
      </c>
      <c r="D21" s="577"/>
      <c r="E21" s="366">
        <v>900</v>
      </c>
      <c r="F21" s="367"/>
      <c r="G21" s="9">
        <v>100</v>
      </c>
      <c r="H21" s="13">
        <v>130</v>
      </c>
      <c r="I21" s="11">
        <v>2.1</v>
      </c>
      <c r="J21" s="11">
        <v>87</v>
      </c>
    </row>
    <row r="22" spans="1:10" x14ac:dyDescent="0.25">
      <c r="A22" s="596" t="s">
        <v>85</v>
      </c>
      <c r="B22" s="597"/>
      <c r="C22" s="582" t="s">
        <v>79</v>
      </c>
      <c r="D22" s="582"/>
      <c r="E22" s="568">
        <v>900</v>
      </c>
      <c r="F22" s="569"/>
      <c r="G22" s="14">
        <v>100</v>
      </c>
      <c r="H22" s="15">
        <v>144</v>
      </c>
      <c r="I22" s="15">
        <v>2.2000000000000002</v>
      </c>
      <c r="J22" s="15">
        <v>87</v>
      </c>
    </row>
    <row r="23" spans="1:10" x14ac:dyDescent="0.25">
      <c r="A23" s="592" t="s">
        <v>85</v>
      </c>
      <c r="B23" s="593"/>
      <c r="C23" s="585" t="s">
        <v>83</v>
      </c>
      <c r="D23" s="585"/>
      <c r="E23" s="570">
        <v>1100</v>
      </c>
      <c r="F23" s="571"/>
      <c r="G23" s="9">
        <v>100</v>
      </c>
      <c r="H23" s="13">
        <v>51</v>
      </c>
      <c r="I23" s="11">
        <v>0.84</v>
      </c>
      <c r="J23" s="11">
        <v>87</v>
      </c>
    </row>
    <row r="24" spans="1:10" x14ac:dyDescent="0.25">
      <c r="A24" s="592" t="s">
        <v>85</v>
      </c>
      <c r="B24" s="593"/>
      <c r="C24" s="577" t="s">
        <v>86</v>
      </c>
      <c r="D24" s="577"/>
      <c r="E24" s="366">
        <v>650</v>
      </c>
      <c r="F24" s="367"/>
      <c r="G24" s="9">
        <v>50</v>
      </c>
      <c r="H24" s="13">
        <v>77</v>
      </c>
      <c r="I24" s="11">
        <v>0.9</v>
      </c>
      <c r="J24" s="11">
        <v>83</v>
      </c>
    </row>
    <row r="25" spans="1:10" x14ac:dyDescent="0.25">
      <c r="A25" s="596" t="s">
        <v>85</v>
      </c>
      <c r="B25" s="597"/>
      <c r="C25" s="582" t="s">
        <v>84</v>
      </c>
      <c r="D25" s="582"/>
      <c r="E25" s="568">
        <v>225</v>
      </c>
      <c r="F25" s="569"/>
      <c r="G25" s="14">
        <v>40</v>
      </c>
      <c r="H25" s="15">
        <v>83</v>
      </c>
      <c r="I25" s="15">
        <v>1.3</v>
      </c>
      <c r="J25" s="15">
        <v>83</v>
      </c>
    </row>
    <row r="26" spans="1:10" x14ac:dyDescent="0.25">
      <c r="A26" s="583" t="s">
        <v>10</v>
      </c>
      <c r="B26" s="584"/>
      <c r="C26" s="585" t="s">
        <v>11</v>
      </c>
      <c r="D26" s="585"/>
      <c r="E26" s="570">
        <v>1200</v>
      </c>
      <c r="F26" s="571"/>
      <c r="G26" s="9">
        <v>120</v>
      </c>
      <c r="H26" s="13">
        <v>104</v>
      </c>
      <c r="I26" s="11">
        <v>1.7</v>
      </c>
      <c r="J26" s="11">
        <v>88</v>
      </c>
    </row>
    <row r="27" spans="1:10" x14ac:dyDescent="0.25">
      <c r="A27" s="592" t="s">
        <v>10</v>
      </c>
      <c r="B27" s="593"/>
      <c r="C27" s="577" t="s">
        <v>12</v>
      </c>
      <c r="D27" s="577"/>
      <c r="E27" s="366">
        <v>600</v>
      </c>
      <c r="F27" s="367"/>
      <c r="G27" s="9">
        <v>50</v>
      </c>
      <c r="H27" s="13">
        <v>77</v>
      </c>
      <c r="I27" s="11">
        <v>1.2</v>
      </c>
      <c r="J27" s="11">
        <v>88</v>
      </c>
    </row>
    <row r="28" spans="1:10" x14ac:dyDescent="0.25">
      <c r="A28" s="596" t="s">
        <v>10</v>
      </c>
      <c r="B28" s="597"/>
      <c r="C28" s="582" t="s">
        <v>13</v>
      </c>
      <c r="D28" s="582"/>
      <c r="E28" s="568">
        <v>1000</v>
      </c>
      <c r="F28" s="569"/>
      <c r="G28" s="14">
        <v>70</v>
      </c>
      <c r="H28" s="15">
        <v>65</v>
      </c>
      <c r="I28" s="15">
        <v>1.1000000000000001</v>
      </c>
      <c r="J28" s="15">
        <v>92</v>
      </c>
    </row>
    <row r="29" spans="1:10" x14ac:dyDescent="0.25">
      <c r="A29" s="605" t="s">
        <v>14</v>
      </c>
      <c r="B29" s="606"/>
      <c r="C29" s="582" t="s">
        <v>15</v>
      </c>
      <c r="D29" s="582"/>
      <c r="E29" s="572">
        <v>1100</v>
      </c>
      <c r="F29" s="573"/>
      <c r="G29" s="16">
        <v>120</v>
      </c>
      <c r="H29" s="17">
        <v>51</v>
      </c>
      <c r="I29" s="18">
        <v>0.82</v>
      </c>
      <c r="J29" s="18">
        <v>85</v>
      </c>
    </row>
    <row r="30" spans="1:10" x14ac:dyDescent="0.25">
      <c r="A30" s="605" t="s">
        <v>16</v>
      </c>
      <c r="B30" s="606"/>
      <c r="C30" s="582" t="s">
        <v>15</v>
      </c>
      <c r="D30" s="582"/>
      <c r="E30" s="572">
        <v>400</v>
      </c>
      <c r="F30" s="573"/>
      <c r="G30" s="16">
        <v>120</v>
      </c>
      <c r="H30" s="17">
        <v>40</v>
      </c>
      <c r="I30" s="19">
        <v>0.85</v>
      </c>
      <c r="J30" s="19">
        <v>83</v>
      </c>
    </row>
    <row r="31" spans="1:10" x14ac:dyDescent="0.25">
      <c r="A31" s="583" t="s">
        <v>17</v>
      </c>
      <c r="B31" s="584"/>
      <c r="C31" s="582" t="s">
        <v>18</v>
      </c>
      <c r="D31" s="582"/>
      <c r="E31" s="570">
        <v>440</v>
      </c>
      <c r="F31" s="571"/>
      <c r="G31" s="9">
        <v>60</v>
      </c>
      <c r="H31" s="13">
        <v>19</v>
      </c>
      <c r="I31" s="11">
        <v>0.3</v>
      </c>
      <c r="J31" s="11">
        <v>90</v>
      </c>
    </row>
    <row r="32" spans="1:10" x14ac:dyDescent="0.25">
      <c r="A32" s="592" t="s">
        <v>17</v>
      </c>
      <c r="B32" s="593"/>
      <c r="C32" s="585" t="s">
        <v>19</v>
      </c>
      <c r="D32" s="585"/>
      <c r="E32" s="366">
        <v>440</v>
      </c>
      <c r="F32" s="367"/>
      <c r="G32" s="9">
        <v>48</v>
      </c>
      <c r="H32" s="13">
        <v>25</v>
      </c>
      <c r="I32" s="11">
        <v>0.41</v>
      </c>
      <c r="J32" s="11">
        <v>90</v>
      </c>
    </row>
    <row r="33" spans="1:10" x14ac:dyDescent="0.25">
      <c r="A33" s="592" t="s">
        <v>17</v>
      </c>
      <c r="B33" s="593"/>
      <c r="C33" s="582" t="s">
        <v>20</v>
      </c>
      <c r="D33" s="582"/>
      <c r="E33" s="366">
        <v>300</v>
      </c>
      <c r="F33" s="367"/>
      <c r="G33" s="9">
        <v>25</v>
      </c>
      <c r="H33" s="13">
        <v>65</v>
      </c>
      <c r="I33" s="11">
        <v>1.1000000000000001</v>
      </c>
      <c r="J33" s="11">
        <v>90</v>
      </c>
    </row>
    <row r="34" spans="1:10" x14ac:dyDescent="0.25">
      <c r="A34" s="592" t="s">
        <v>17</v>
      </c>
      <c r="B34" s="593"/>
      <c r="C34" s="582" t="s">
        <v>21</v>
      </c>
      <c r="D34" s="582"/>
      <c r="E34" s="366">
        <v>154</v>
      </c>
      <c r="F34" s="367"/>
      <c r="G34" s="9">
        <v>15</v>
      </c>
      <c r="H34" s="13">
        <v>65</v>
      </c>
      <c r="I34" s="11">
        <v>1.1000000000000001</v>
      </c>
      <c r="J34" s="11">
        <v>90</v>
      </c>
    </row>
    <row r="35" spans="1:10" x14ac:dyDescent="0.25">
      <c r="A35" s="592" t="s">
        <v>17</v>
      </c>
      <c r="B35" s="593"/>
      <c r="C35" s="585" t="s">
        <v>22</v>
      </c>
      <c r="D35" s="585"/>
      <c r="E35" s="366">
        <v>423</v>
      </c>
      <c r="F35" s="367"/>
      <c r="G35" s="9">
        <v>60</v>
      </c>
      <c r="H35" s="13">
        <v>59</v>
      </c>
      <c r="I35" s="11">
        <v>0.97</v>
      </c>
      <c r="J35" s="11">
        <v>90</v>
      </c>
    </row>
    <row r="36" spans="1:10" x14ac:dyDescent="0.25">
      <c r="A36" s="596" t="s">
        <v>17</v>
      </c>
      <c r="B36" s="597"/>
      <c r="C36" s="582" t="s">
        <v>23</v>
      </c>
      <c r="D36" s="582"/>
      <c r="E36" s="568">
        <v>25</v>
      </c>
      <c r="F36" s="569"/>
      <c r="G36" s="14">
        <v>6</v>
      </c>
      <c r="H36" s="15">
        <v>88</v>
      </c>
      <c r="I36" s="15">
        <v>1.4</v>
      </c>
      <c r="J36" s="15">
        <v>90</v>
      </c>
    </row>
    <row r="37" spans="1:10" x14ac:dyDescent="0.25">
      <c r="A37" s="583" t="s">
        <v>88</v>
      </c>
      <c r="B37" s="584"/>
      <c r="C37" s="582" t="s">
        <v>25</v>
      </c>
      <c r="D37" s="582"/>
      <c r="E37" s="570">
        <v>120</v>
      </c>
      <c r="F37" s="571"/>
      <c r="G37" s="20">
        <v>20</v>
      </c>
      <c r="H37" s="13">
        <v>117</v>
      </c>
      <c r="I37" s="11">
        <v>2</v>
      </c>
      <c r="J37" s="11">
        <v>56</v>
      </c>
    </row>
    <row r="38" spans="1:10" x14ac:dyDescent="0.25">
      <c r="A38" s="592" t="s">
        <v>24</v>
      </c>
      <c r="B38" s="593"/>
      <c r="C38" s="585" t="s">
        <v>26</v>
      </c>
      <c r="D38" s="585"/>
      <c r="E38" s="366">
        <v>150</v>
      </c>
      <c r="F38" s="367"/>
      <c r="G38" s="20">
        <v>15</v>
      </c>
      <c r="H38" s="13">
        <v>117</v>
      </c>
      <c r="I38" s="11">
        <v>2</v>
      </c>
      <c r="J38" s="11">
        <v>56</v>
      </c>
    </row>
    <row r="39" spans="1:10" x14ac:dyDescent="0.25">
      <c r="A39" s="596" t="s">
        <v>24</v>
      </c>
      <c r="B39" s="597"/>
      <c r="C39" s="582" t="s">
        <v>27</v>
      </c>
      <c r="D39" s="582"/>
      <c r="E39" s="568">
        <v>30</v>
      </c>
      <c r="F39" s="569"/>
      <c r="G39" s="21">
        <v>4</v>
      </c>
      <c r="H39" s="15">
        <v>117</v>
      </c>
      <c r="I39" s="15">
        <v>2</v>
      </c>
      <c r="J39" s="15">
        <v>56</v>
      </c>
    </row>
    <row r="40" spans="1:10" ht="15.75" thickBot="1" x14ac:dyDescent="0.3">
      <c r="A40" s="598" t="s">
        <v>28</v>
      </c>
      <c r="B40" s="599"/>
      <c r="C40" s="22" t="s">
        <v>29</v>
      </c>
      <c r="D40" s="22"/>
      <c r="E40" s="594">
        <v>100</v>
      </c>
      <c r="F40" s="595"/>
      <c r="G40" s="23">
        <v>20</v>
      </c>
      <c r="H40" s="24">
        <v>110</v>
      </c>
      <c r="I40" s="25">
        <v>1.8</v>
      </c>
      <c r="J40" s="25">
        <v>57</v>
      </c>
    </row>
    <row r="41" spans="1:10" x14ac:dyDescent="0.25">
      <c r="A41" s="26" t="s">
        <v>30</v>
      </c>
      <c r="G41" t="s">
        <v>406</v>
      </c>
    </row>
    <row r="42" spans="1:10" x14ac:dyDescent="0.25">
      <c r="A42" t="s">
        <v>31</v>
      </c>
    </row>
    <row r="43" spans="1:10" x14ac:dyDescent="0.25">
      <c r="A43" t="s">
        <v>32</v>
      </c>
    </row>
    <row r="44" spans="1:10" x14ac:dyDescent="0.25">
      <c r="A44" t="s">
        <v>33</v>
      </c>
    </row>
    <row r="45" spans="1:10" x14ac:dyDescent="0.25">
      <c r="A45" t="s">
        <v>34</v>
      </c>
    </row>
    <row r="46" spans="1:10" ht="15.75" thickBot="1" x14ac:dyDescent="0.3">
      <c r="A46" t="s">
        <v>35</v>
      </c>
    </row>
    <row r="47" spans="1:10" x14ac:dyDescent="0.25">
      <c r="A47" s="562" t="s">
        <v>36</v>
      </c>
      <c r="B47" s="563"/>
      <c r="C47" s="563"/>
      <c r="D47" s="564"/>
    </row>
    <row r="48" spans="1:10" ht="15.75" thickBot="1" x14ac:dyDescent="0.3">
      <c r="A48" s="565"/>
      <c r="B48" s="566"/>
      <c r="C48" s="566"/>
      <c r="D48" s="567"/>
    </row>
    <row r="49" spans="1:6" ht="15.75" thickBot="1" x14ac:dyDescent="0.3">
      <c r="A49" s="578" t="s">
        <v>37</v>
      </c>
      <c r="B49" s="579"/>
      <c r="C49" s="580" t="s">
        <v>38</v>
      </c>
      <c r="D49" s="581"/>
    </row>
    <row r="50" spans="1:6" x14ac:dyDescent="0.25">
      <c r="A50" s="27">
        <v>10</v>
      </c>
      <c r="B50" s="28">
        <v>25</v>
      </c>
      <c r="C50" s="600">
        <v>6</v>
      </c>
      <c r="D50" s="600"/>
    </row>
    <row r="51" spans="1:6" x14ac:dyDescent="0.25">
      <c r="A51" s="29">
        <v>26</v>
      </c>
      <c r="B51" s="30">
        <v>40</v>
      </c>
      <c r="C51" s="576">
        <v>8</v>
      </c>
      <c r="D51" s="576"/>
    </row>
    <row r="52" spans="1:6" x14ac:dyDescent="0.25">
      <c r="A52" s="29">
        <v>41</v>
      </c>
      <c r="B52" s="30">
        <v>100</v>
      </c>
      <c r="C52" s="576">
        <v>10</v>
      </c>
      <c r="D52" s="576"/>
    </row>
    <row r="53" spans="1:6" x14ac:dyDescent="0.25">
      <c r="A53" s="29">
        <v>101</v>
      </c>
      <c r="B53" s="30">
        <v>150</v>
      </c>
      <c r="C53" s="576">
        <v>15</v>
      </c>
      <c r="D53" s="576"/>
    </row>
    <row r="54" spans="1:6" x14ac:dyDescent="0.25">
      <c r="A54" s="29">
        <v>151</v>
      </c>
      <c r="B54" s="30">
        <v>220</v>
      </c>
      <c r="C54" s="576">
        <v>18</v>
      </c>
      <c r="D54" s="576"/>
    </row>
    <row r="55" spans="1:6" x14ac:dyDescent="0.25">
      <c r="A55" s="31">
        <v>221</v>
      </c>
      <c r="B55" s="32">
        <v>260</v>
      </c>
      <c r="C55" s="576">
        <v>20</v>
      </c>
      <c r="D55" s="576"/>
    </row>
    <row r="56" spans="1:6" x14ac:dyDescent="0.25">
      <c r="A56" s="574" t="s">
        <v>39</v>
      </c>
      <c r="B56" s="575"/>
      <c r="C56" s="576">
        <v>48</v>
      </c>
      <c r="D56" s="576"/>
    </row>
    <row r="57" spans="1:6" x14ac:dyDescent="0.25">
      <c r="A57" s="574" t="s">
        <v>40</v>
      </c>
      <c r="B57" s="575"/>
      <c r="C57" s="576">
        <v>60</v>
      </c>
      <c r="D57" s="576"/>
    </row>
    <row r="58" spans="1:6" x14ac:dyDescent="0.25">
      <c r="A58" s="574" t="s">
        <v>18</v>
      </c>
      <c r="B58" s="575"/>
      <c r="C58" s="576">
        <v>60</v>
      </c>
      <c r="D58" s="576"/>
    </row>
    <row r="59" spans="1:6" x14ac:dyDescent="0.25">
      <c r="A59" s="607" t="s">
        <v>41</v>
      </c>
      <c r="B59" s="608"/>
      <c r="C59" s="608"/>
      <c r="D59" s="609"/>
      <c r="E59" s="33"/>
      <c r="F59" s="34"/>
    </row>
    <row r="60" spans="1:6" x14ac:dyDescent="0.25">
      <c r="A60" s="586" t="s">
        <v>42</v>
      </c>
      <c r="B60" s="587"/>
      <c r="C60" s="587"/>
      <c r="D60" s="588"/>
      <c r="E60" s="35"/>
      <c r="F60" s="36"/>
    </row>
    <row r="61" spans="1:6" x14ac:dyDescent="0.25">
      <c r="A61" s="589"/>
      <c r="B61" s="590"/>
      <c r="C61" s="590"/>
      <c r="D61" s="591"/>
      <c r="E61" s="35"/>
      <c r="F61" s="36"/>
    </row>
    <row r="62" spans="1:6" x14ac:dyDescent="0.25">
      <c r="A62" t="s">
        <v>43</v>
      </c>
    </row>
    <row r="63" spans="1:6" x14ac:dyDescent="0.25">
      <c r="A63" t="s">
        <v>44</v>
      </c>
    </row>
    <row r="66" spans="1:12" x14ac:dyDescent="0.25">
      <c r="A66" t="s">
        <v>200</v>
      </c>
      <c r="F66" t="s">
        <v>310</v>
      </c>
    </row>
    <row r="67" spans="1:12" x14ac:dyDescent="0.25">
      <c r="A67" s="26" t="s">
        <v>190</v>
      </c>
      <c r="F67" s="183" t="s">
        <v>307</v>
      </c>
      <c r="G67" s="183"/>
      <c r="H67" s="183"/>
      <c r="I67" s="183" t="s">
        <v>308</v>
      </c>
      <c r="J67" s="183" t="s">
        <v>309</v>
      </c>
    </row>
    <row r="68" spans="1:12" x14ac:dyDescent="0.25">
      <c r="A68" s="26" t="s">
        <v>191</v>
      </c>
      <c r="F68" s="57" t="s">
        <v>277</v>
      </c>
      <c r="I68">
        <v>88</v>
      </c>
      <c r="J68">
        <v>38480</v>
      </c>
      <c r="K68" t="s">
        <v>283</v>
      </c>
    </row>
    <row r="69" spans="1:12" x14ac:dyDescent="0.25">
      <c r="A69" t="s">
        <v>192</v>
      </c>
      <c r="B69">
        <v>0.3</v>
      </c>
      <c r="C69" t="s">
        <v>193</v>
      </c>
      <c r="D69" s="161">
        <v>3</v>
      </c>
      <c r="F69" s="57" t="s">
        <v>275</v>
      </c>
      <c r="I69">
        <v>100</v>
      </c>
      <c r="J69">
        <v>43030</v>
      </c>
      <c r="K69" t="s">
        <v>285</v>
      </c>
    </row>
    <row r="70" spans="1:12" x14ac:dyDescent="0.25">
      <c r="A70" t="s">
        <v>194</v>
      </c>
      <c r="B70">
        <v>1</v>
      </c>
      <c r="C70" t="s">
        <v>193</v>
      </c>
      <c r="D70" s="161">
        <v>10</v>
      </c>
      <c r="F70" s="57" t="s">
        <v>276</v>
      </c>
      <c r="I70">
        <v>123</v>
      </c>
      <c r="J70">
        <v>47920</v>
      </c>
      <c r="K70" t="s">
        <v>284</v>
      </c>
    </row>
    <row r="71" spans="1:12" x14ac:dyDescent="0.25">
      <c r="A71" t="s">
        <v>195</v>
      </c>
      <c r="B71">
        <v>3.5</v>
      </c>
      <c r="C71" t="s">
        <v>193</v>
      </c>
      <c r="D71" s="161">
        <v>32</v>
      </c>
      <c r="K71" t="s">
        <v>286</v>
      </c>
      <c r="L71" t="s">
        <v>287</v>
      </c>
    </row>
    <row r="72" spans="1:12" x14ac:dyDescent="0.25">
      <c r="A72" t="s">
        <v>196</v>
      </c>
    </row>
    <row r="73" spans="1:12" x14ac:dyDescent="0.25">
      <c r="A73" t="s">
        <v>197</v>
      </c>
      <c r="F73" t="s">
        <v>316</v>
      </c>
    </row>
    <row r="75" spans="1:12" x14ac:dyDescent="0.25">
      <c r="F75" s="545" t="s">
        <v>279</v>
      </c>
      <c r="G75" s="545"/>
      <c r="H75" s="545"/>
      <c r="I75">
        <v>0.3</v>
      </c>
      <c r="J75">
        <v>92</v>
      </c>
      <c r="K75" s="164">
        <v>4.2</v>
      </c>
      <c r="L75" t="s">
        <v>278</v>
      </c>
    </row>
    <row r="76" spans="1:12" ht="15.75" x14ac:dyDescent="0.25">
      <c r="A76" s="198"/>
      <c r="B76" s="199"/>
      <c r="C76" s="199"/>
      <c r="D76" s="200"/>
      <c r="E76" s="200"/>
      <c r="G76" t="s">
        <v>281</v>
      </c>
      <c r="I76" t="s">
        <v>282</v>
      </c>
      <c r="K76" s="164"/>
      <c r="L76" t="s">
        <v>280</v>
      </c>
    </row>
    <row r="77" spans="1:12" x14ac:dyDescent="0.25">
      <c r="G77" t="s">
        <v>414</v>
      </c>
      <c r="H77" s="57"/>
      <c r="I77" t="s">
        <v>415</v>
      </c>
      <c r="K77" s="164"/>
    </row>
    <row r="78" spans="1:12" ht="16.5" thickBot="1" x14ac:dyDescent="0.3">
      <c r="A78" s="78" t="s">
        <v>328</v>
      </c>
      <c r="F78" s="127" t="s">
        <v>273</v>
      </c>
      <c r="H78" s="129" t="s">
        <v>288</v>
      </c>
    </row>
    <row r="79" spans="1:12" ht="15" customHeight="1" x14ac:dyDescent="0.25">
      <c r="B79" s="546" t="s">
        <v>157</v>
      </c>
      <c r="C79" s="546" t="s">
        <v>323</v>
      </c>
      <c r="F79" t="s">
        <v>274</v>
      </c>
      <c r="H79" s="57" t="s">
        <v>291</v>
      </c>
      <c r="I79" s="57">
        <v>1</v>
      </c>
      <c r="J79">
        <v>420</v>
      </c>
      <c r="K79" s="164">
        <v>30</v>
      </c>
      <c r="L79" t="s">
        <v>289</v>
      </c>
    </row>
    <row r="80" spans="1:12" x14ac:dyDescent="0.25">
      <c r="A80" s="549" t="s">
        <v>45</v>
      </c>
      <c r="B80" s="547"/>
      <c r="C80" s="547"/>
      <c r="F80" t="s">
        <v>311</v>
      </c>
      <c r="H80" s="6"/>
      <c r="I80" s="6"/>
    </row>
    <row r="81" spans="1:17" ht="21.75" customHeight="1" thickBot="1" x14ac:dyDescent="0.3">
      <c r="A81" s="550"/>
      <c r="B81" s="548"/>
      <c r="C81" s="548"/>
      <c r="E81" s="543" t="s">
        <v>306</v>
      </c>
      <c r="F81" s="543"/>
      <c r="G81" s="543"/>
      <c r="H81" s="543"/>
      <c r="I81" s="204" t="s">
        <v>312</v>
      </c>
      <c r="J81" s="544" t="s">
        <v>313</v>
      </c>
      <c r="K81" s="544"/>
      <c r="L81" s="204" t="s">
        <v>314</v>
      </c>
      <c r="M81" s="361" t="s">
        <v>347</v>
      </c>
      <c r="N81" s="361"/>
    </row>
    <row r="82" spans="1:17" x14ac:dyDescent="0.25">
      <c r="A82" s="37" t="s">
        <v>46</v>
      </c>
      <c r="B82" s="37">
        <v>12</v>
      </c>
      <c r="C82" s="37">
        <v>60</v>
      </c>
      <c r="F82" s="57" t="s">
        <v>277</v>
      </c>
      <c r="I82">
        <v>88</v>
      </c>
      <c r="J82">
        <f>I82*420</f>
        <v>36960</v>
      </c>
      <c r="L82" s="196">
        <v>5</v>
      </c>
      <c r="M82" s="164">
        <f>I82*L82</f>
        <v>440</v>
      </c>
    </row>
    <row r="83" spans="1:17" x14ac:dyDescent="0.25">
      <c r="A83" s="37" t="s">
        <v>421</v>
      </c>
      <c r="B83" s="37">
        <v>10</v>
      </c>
      <c r="C83" s="37">
        <v>90</v>
      </c>
      <c r="F83" s="57" t="s">
        <v>275</v>
      </c>
      <c r="I83">
        <v>100</v>
      </c>
      <c r="J83">
        <f t="shared" ref="J83:J84" si="0">I83*420</f>
        <v>42000</v>
      </c>
      <c r="L83" s="196">
        <v>5</v>
      </c>
      <c r="M83" s="164">
        <f t="shared" ref="M83:M84" si="1">I83*L83</f>
        <v>500</v>
      </c>
    </row>
    <row r="84" spans="1:17" x14ac:dyDescent="0.25">
      <c r="A84" s="37" t="s">
        <v>320</v>
      </c>
      <c r="B84" s="37">
        <v>10</v>
      </c>
      <c r="C84" s="37">
        <v>30</v>
      </c>
      <c r="F84" s="57" t="s">
        <v>276</v>
      </c>
      <c r="I84">
        <v>123</v>
      </c>
      <c r="J84">
        <f t="shared" si="0"/>
        <v>51660</v>
      </c>
      <c r="L84" s="196">
        <v>5</v>
      </c>
      <c r="M84" s="164">
        <f t="shared" si="1"/>
        <v>615</v>
      </c>
    </row>
    <row r="85" spans="1:17" x14ac:dyDescent="0.25">
      <c r="A85" s="37" t="s">
        <v>47</v>
      </c>
      <c r="B85" s="37">
        <v>40</v>
      </c>
      <c r="C85" s="37">
        <v>60</v>
      </c>
      <c r="L85" s="126" t="s">
        <v>290</v>
      </c>
    </row>
    <row r="86" spans="1:17" x14ac:dyDescent="0.25">
      <c r="A86" s="37" t="s">
        <v>49</v>
      </c>
      <c r="B86" s="37">
        <v>10</v>
      </c>
      <c r="C86" s="37">
        <v>80</v>
      </c>
      <c r="H86" t="s">
        <v>304</v>
      </c>
    </row>
    <row r="87" spans="1:17" x14ac:dyDescent="0.25">
      <c r="A87" s="37" t="s">
        <v>48</v>
      </c>
      <c r="B87" s="37">
        <v>15</v>
      </c>
      <c r="C87" s="37">
        <v>100</v>
      </c>
      <c r="H87" s="204" t="s">
        <v>305</v>
      </c>
    </row>
    <row r="88" spans="1:17" x14ac:dyDescent="0.25">
      <c r="A88" s="37" t="s">
        <v>321</v>
      </c>
      <c r="B88" s="37">
        <v>40</v>
      </c>
      <c r="C88" s="37">
        <v>200</v>
      </c>
    </row>
    <row r="89" spans="1:17" x14ac:dyDescent="0.25">
      <c r="A89" s="37" t="s">
        <v>324</v>
      </c>
      <c r="B89" s="37">
        <v>25</v>
      </c>
      <c r="C89" s="37">
        <v>300</v>
      </c>
    </row>
    <row r="90" spans="1:17" x14ac:dyDescent="0.25">
      <c r="A90" s="38" t="s">
        <v>325</v>
      </c>
    </row>
    <row r="91" spans="1:17" ht="15.75" x14ac:dyDescent="0.25">
      <c r="A91" s="201" t="s">
        <v>322</v>
      </c>
      <c r="K91" s="78" t="s">
        <v>441</v>
      </c>
      <c r="N91" s="332"/>
      <c r="O91" s="333">
        <v>42711</v>
      </c>
    </row>
    <row r="92" spans="1:17" ht="15" customHeight="1" x14ac:dyDescent="0.25">
      <c r="A92" s="201" t="s">
        <v>326</v>
      </c>
      <c r="L92" s="604" t="s">
        <v>442</v>
      </c>
      <c r="M92" s="604"/>
      <c r="N92" s="604"/>
      <c r="O92" s="243"/>
      <c r="P92" s="243"/>
      <c r="Q92" s="243"/>
    </row>
    <row r="93" spans="1:17" x14ac:dyDescent="0.25">
      <c r="A93" s="201" t="s">
        <v>327</v>
      </c>
      <c r="K93" s="308" t="s">
        <v>443</v>
      </c>
      <c r="L93" s="308" t="s">
        <v>444</v>
      </c>
      <c r="M93" s="308" t="s">
        <v>445</v>
      </c>
      <c r="N93" s="334" t="s">
        <v>446</v>
      </c>
      <c r="O93" s="308" t="s">
        <v>447</v>
      </c>
      <c r="P93" s="308" t="s">
        <v>448</v>
      </c>
    </row>
    <row r="94" spans="1:17" x14ac:dyDescent="0.25">
      <c r="A94" s="201" t="s">
        <v>317</v>
      </c>
      <c r="B94" s="201" t="s">
        <v>318</v>
      </c>
      <c r="C94" s="201"/>
      <c r="D94" s="201" t="s">
        <v>319</v>
      </c>
      <c r="F94" s="201"/>
      <c r="N94" s="332"/>
      <c r="P94" s="308" t="s">
        <v>449</v>
      </c>
    </row>
    <row r="95" spans="1:17" ht="30" customHeight="1" x14ac:dyDescent="0.25">
      <c r="A95" s="201" t="s">
        <v>330</v>
      </c>
      <c r="K95" s="335" t="s">
        <v>450</v>
      </c>
      <c r="L95" s="335" t="s">
        <v>451</v>
      </c>
      <c r="M95" s="335" t="s">
        <v>452</v>
      </c>
      <c r="N95" s="332">
        <v>3</v>
      </c>
      <c r="O95" t="s">
        <v>453</v>
      </c>
      <c r="P95">
        <v>50</v>
      </c>
      <c r="Q95" t="s">
        <v>454</v>
      </c>
    </row>
    <row r="96" spans="1:17" ht="30" customHeight="1" x14ac:dyDescent="0.25">
      <c r="A96" s="274" t="s">
        <v>422</v>
      </c>
      <c r="L96" s="335" t="s">
        <v>451</v>
      </c>
      <c r="M96" s="335" t="s">
        <v>452</v>
      </c>
      <c r="N96" s="332">
        <v>4.1500000000000004</v>
      </c>
      <c r="O96" t="s">
        <v>455</v>
      </c>
      <c r="P96">
        <v>50</v>
      </c>
      <c r="Q96" t="s">
        <v>454</v>
      </c>
    </row>
    <row r="97" spans="1:17" ht="30" customHeight="1" x14ac:dyDescent="0.25">
      <c r="L97" s="335" t="s">
        <v>451</v>
      </c>
      <c r="M97" s="335" t="s">
        <v>452</v>
      </c>
      <c r="N97" s="332">
        <v>3.1</v>
      </c>
      <c r="O97" t="s">
        <v>456</v>
      </c>
      <c r="P97">
        <v>50</v>
      </c>
      <c r="Q97" t="s">
        <v>454</v>
      </c>
    </row>
    <row r="98" spans="1:17" ht="30" customHeight="1" x14ac:dyDescent="0.25">
      <c r="D98" t="s">
        <v>409</v>
      </c>
      <c r="L98" s="335" t="s">
        <v>451</v>
      </c>
      <c r="M98" s="335" t="s">
        <v>452</v>
      </c>
      <c r="N98" s="332">
        <v>4</v>
      </c>
      <c r="O98" t="s">
        <v>457</v>
      </c>
      <c r="P98">
        <v>50</v>
      </c>
      <c r="Q98" t="s">
        <v>454</v>
      </c>
    </row>
    <row r="99" spans="1:17" x14ac:dyDescent="0.25">
      <c r="D99" t="s">
        <v>410</v>
      </c>
      <c r="L99" s="335"/>
      <c r="M99" s="336" t="s">
        <v>458</v>
      </c>
      <c r="N99" s="337">
        <f>AVERAGE(N95:N98)</f>
        <v>3.5625</v>
      </c>
      <c r="P99" s="26">
        <v>50</v>
      </c>
    </row>
    <row r="100" spans="1:17" x14ac:dyDescent="0.25">
      <c r="D100" s="307" t="s">
        <v>411</v>
      </c>
      <c r="E100" s="307"/>
      <c r="L100" s="335"/>
      <c r="N100" s="332"/>
    </row>
    <row r="101" spans="1:17" ht="30" customHeight="1" x14ac:dyDescent="0.25">
      <c r="L101" s="335" t="s">
        <v>451</v>
      </c>
      <c r="M101" s="335" t="s">
        <v>459</v>
      </c>
      <c r="N101" s="332">
        <v>50</v>
      </c>
      <c r="O101" t="s">
        <v>460</v>
      </c>
      <c r="P101">
        <v>900</v>
      </c>
      <c r="Q101" s="307" t="s">
        <v>461</v>
      </c>
    </row>
    <row r="102" spans="1:17" ht="30" customHeight="1" x14ac:dyDescent="0.25">
      <c r="D102" s="307">
        <v>2</v>
      </c>
      <c r="E102" s="307" t="s">
        <v>412</v>
      </c>
      <c r="L102" s="335" t="s">
        <v>451</v>
      </c>
      <c r="M102" s="335" t="s">
        <v>459</v>
      </c>
      <c r="N102" s="332">
        <v>60</v>
      </c>
      <c r="O102" t="s">
        <v>457</v>
      </c>
      <c r="P102">
        <v>900</v>
      </c>
      <c r="Q102" s="307" t="s">
        <v>461</v>
      </c>
    </row>
    <row r="103" spans="1:17" ht="30" customHeight="1" x14ac:dyDescent="0.25">
      <c r="D103" s="307">
        <v>2</v>
      </c>
      <c r="E103" s="307" t="s">
        <v>413</v>
      </c>
      <c r="L103" s="335" t="s">
        <v>451</v>
      </c>
      <c r="M103" s="335" t="s">
        <v>459</v>
      </c>
      <c r="N103" s="332">
        <v>35</v>
      </c>
      <c r="O103" t="s">
        <v>462</v>
      </c>
      <c r="P103">
        <v>900</v>
      </c>
      <c r="Q103" s="307" t="s">
        <v>461</v>
      </c>
    </row>
    <row r="104" spans="1:17" x14ac:dyDescent="0.25">
      <c r="L104" s="335"/>
      <c r="M104" s="336" t="s">
        <v>458</v>
      </c>
      <c r="N104" s="337">
        <f>AVERAGE(N101:N103)</f>
        <v>48.333333333333336</v>
      </c>
      <c r="P104" s="26">
        <v>900</v>
      </c>
    </row>
    <row r="105" spans="1:17" x14ac:dyDescent="0.25">
      <c r="L105" s="335"/>
      <c r="N105" s="332"/>
    </row>
    <row r="106" spans="1:17" ht="30" customHeight="1" x14ac:dyDescent="0.25">
      <c r="A106" t="s">
        <v>408</v>
      </c>
      <c r="L106" s="335" t="s">
        <v>451</v>
      </c>
      <c r="M106" s="335" t="s">
        <v>463</v>
      </c>
      <c r="N106" s="332">
        <v>80</v>
      </c>
      <c r="O106" t="s">
        <v>464</v>
      </c>
      <c r="P106">
        <v>1320</v>
      </c>
      <c r="Q106" s="307" t="s">
        <v>465</v>
      </c>
    </row>
    <row r="107" spans="1:17" ht="30" customHeight="1" x14ac:dyDescent="0.25">
      <c r="L107" s="335" t="s">
        <v>451</v>
      </c>
      <c r="M107" s="335" t="s">
        <v>463</v>
      </c>
      <c r="N107" s="332">
        <v>60</v>
      </c>
      <c r="O107" t="s">
        <v>457</v>
      </c>
      <c r="P107">
        <v>1320</v>
      </c>
      <c r="Q107" s="307" t="s">
        <v>465</v>
      </c>
    </row>
    <row r="108" spans="1:17" x14ac:dyDescent="0.25">
      <c r="L108" s="335"/>
      <c r="M108" s="336" t="s">
        <v>458</v>
      </c>
      <c r="N108" s="337">
        <f>AVERAGE(N106:N107)</f>
        <v>70</v>
      </c>
      <c r="P108" s="26">
        <v>1320</v>
      </c>
    </row>
    <row r="109" spans="1:17" x14ac:dyDescent="0.25">
      <c r="N109" s="332"/>
    </row>
    <row r="110" spans="1:17" ht="30" customHeight="1" x14ac:dyDescent="0.25">
      <c r="L110" s="335" t="s">
        <v>466</v>
      </c>
      <c r="M110" s="335" t="s">
        <v>467</v>
      </c>
      <c r="N110" s="332">
        <v>30</v>
      </c>
      <c r="O110" t="s">
        <v>468</v>
      </c>
      <c r="P110">
        <v>750</v>
      </c>
      <c r="Q110" s="307" t="s">
        <v>469</v>
      </c>
    </row>
    <row r="111" spans="1:17" ht="30" customHeight="1" x14ac:dyDescent="0.25">
      <c r="L111" s="335" t="s">
        <v>470</v>
      </c>
      <c r="M111" s="335" t="s">
        <v>467</v>
      </c>
      <c r="N111" s="332">
        <v>30</v>
      </c>
      <c r="O111" t="s">
        <v>460</v>
      </c>
      <c r="P111">
        <v>750</v>
      </c>
      <c r="Q111" s="307" t="s">
        <v>469</v>
      </c>
    </row>
    <row r="112" spans="1:17" ht="30" customHeight="1" x14ac:dyDescent="0.25">
      <c r="K112" s="6"/>
      <c r="L112" s="338" t="s">
        <v>471</v>
      </c>
      <c r="M112" s="335" t="s">
        <v>467</v>
      </c>
      <c r="N112" s="339">
        <v>21</v>
      </c>
      <c r="O112" s="6" t="s">
        <v>457</v>
      </c>
      <c r="P112">
        <v>750</v>
      </c>
      <c r="Q112" s="307" t="s">
        <v>469</v>
      </c>
    </row>
    <row r="113" spans="1:17" x14ac:dyDescent="0.25">
      <c r="K113" s="6"/>
      <c r="L113" s="338"/>
      <c r="M113" s="336" t="s">
        <v>458</v>
      </c>
      <c r="N113" s="340">
        <f>AVERAGE(N110:N112)</f>
        <v>27</v>
      </c>
      <c r="O113" s="6"/>
      <c r="P113" s="26">
        <v>750</v>
      </c>
    </row>
    <row r="114" spans="1:17" x14ac:dyDescent="0.25">
      <c r="K114" s="6"/>
      <c r="L114" s="338"/>
      <c r="M114" s="336"/>
      <c r="N114" s="340"/>
      <c r="O114" s="6"/>
      <c r="P114" s="26"/>
    </row>
    <row r="115" spans="1:17" x14ac:dyDescent="0.25">
      <c r="K115" t="s">
        <v>472</v>
      </c>
      <c r="L115" s="338"/>
      <c r="M115" s="336"/>
      <c r="N115" s="340"/>
      <c r="O115" s="6"/>
      <c r="P115" s="26"/>
    </row>
    <row r="116" spans="1:17" x14ac:dyDescent="0.25">
      <c r="K116" s="6" t="s">
        <v>473</v>
      </c>
      <c r="L116" s="338"/>
      <c r="M116" s="336"/>
      <c r="N116" s="340"/>
      <c r="O116" s="6"/>
      <c r="P116" s="26"/>
    </row>
    <row r="117" spans="1:17" x14ac:dyDescent="0.25">
      <c r="K117" s="6" t="s">
        <v>474</v>
      </c>
      <c r="L117" s="338"/>
      <c r="M117" s="336"/>
      <c r="N117" s="340"/>
      <c r="O117" s="6"/>
      <c r="P117" s="26"/>
    </row>
    <row r="118" spans="1:17" ht="15.75" thickBot="1" x14ac:dyDescent="0.3">
      <c r="K118" s="341" t="s">
        <v>475</v>
      </c>
      <c r="L118" s="342"/>
      <c r="M118" s="341"/>
      <c r="N118" s="343"/>
      <c r="O118" s="341"/>
      <c r="P118" s="341"/>
    </row>
    <row r="119" spans="1:17" ht="30" customHeight="1" thickTop="1" x14ac:dyDescent="0.25">
      <c r="K119" t="s">
        <v>476</v>
      </c>
      <c r="L119" s="335" t="s">
        <v>451</v>
      </c>
      <c r="M119" s="335" t="s">
        <v>467</v>
      </c>
      <c r="N119" s="332">
        <v>45</v>
      </c>
      <c r="O119" t="s">
        <v>460</v>
      </c>
      <c r="P119" s="57">
        <v>1100</v>
      </c>
      <c r="Q119" s="307" t="s">
        <v>469</v>
      </c>
    </row>
    <row r="120" spans="1:17" ht="30" customHeight="1" x14ac:dyDescent="0.25">
      <c r="L120" s="335" t="s">
        <v>451</v>
      </c>
      <c r="M120" s="335" t="s">
        <v>467</v>
      </c>
      <c r="N120" s="332">
        <v>25</v>
      </c>
      <c r="O120" t="s">
        <v>456</v>
      </c>
      <c r="P120" s="57">
        <v>1100</v>
      </c>
      <c r="Q120" s="307" t="s">
        <v>469</v>
      </c>
    </row>
    <row r="121" spans="1:17" ht="30" customHeight="1" x14ac:dyDescent="0.25">
      <c r="L121" s="335" t="s">
        <v>451</v>
      </c>
      <c r="M121" s="335" t="s">
        <v>467</v>
      </c>
      <c r="N121" s="332">
        <v>40</v>
      </c>
      <c r="O121" t="s">
        <v>464</v>
      </c>
      <c r="P121" s="57">
        <v>1100</v>
      </c>
      <c r="Q121" s="307" t="s">
        <v>469</v>
      </c>
    </row>
    <row r="122" spans="1:17" ht="30" customHeight="1" x14ac:dyDescent="0.25">
      <c r="L122" s="335" t="s">
        <v>451</v>
      </c>
      <c r="M122" s="335" t="s">
        <v>467</v>
      </c>
      <c r="N122" s="332">
        <v>45</v>
      </c>
      <c r="O122" t="s">
        <v>457</v>
      </c>
      <c r="P122" s="57">
        <v>1100</v>
      </c>
      <c r="Q122" s="307" t="s">
        <v>469</v>
      </c>
    </row>
    <row r="123" spans="1:17" x14ac:dyDescent="0.25">
      <c r="M123" s="336" t="s">
        <v>458</v>
      </c>
      <c r="N123" s="337">
        <f>AVERAGE(N119:N122)</f>
        <v>38.75</v>
      </c>
      <c r="P123" s="129">
        <v>1100</v>
      </c>
      <c r="Q123" s="308" t="s">
        <v>469</v>
      </c>
    </row>
    <row r="124" spans="1:17" x14ac:dyDescent="0.25">
      <c r="N124" s="332"/>
    </row>
    <row r="125" spans="1:17" ht="30" customHeight="1" x14ac:dyDescent="0.25">
      <c r="A125" t="s">
        <v>418</v>
      </c>
      <c r="L125" s="335" t="s">
        <v>451</v>
      </c>
      <c r="M125" s="335" t="s">
        <v>459</v>
      </c>
      <c r="N125" s="332">
        <v>55</v>
      </c>
      <c r="O125" t="s">
        <v>455</v>
      </c>
      <c r="P125">
        <v>1330</v>
      </c>
      <c r="Q125" s="307" t="s">
        <v>461</v>
      </c>
    </row>
    <row r="126" spans="1:17" x14ac:dyDescent="0.25">
      <c r="N126" s="332"/>
    </row>
    <row r="127" spans="1:17" x14ac:dyDescent="0.25">
      <c r="N127" s="332"/>
    </row>
    <row r="128" spans="1:17" x14ac:dyDescent="0.25">
      <c r="K128" t="s">
        <v>477</v>
      </c>
      <c r="N128" s="332"/>
    </row>
    <row r="129" spans="11:17" x14ac:dyDescent="0.25">
      <c r="K129" t="s">
        <v>478</v>
      </c>
      <c r="N129" s="332"/>
    </row>
    <row r="130" spans="11:17" x14ac:dyDescent="0.25">
      <c r="K130" t="s">
        <v>472</v>
      </c>
      <c r="L130" s="338"/>
      <c r="N130" s="332"/>
    </row>
    <row r="131" spans="11:17" ht="15.75" thickBot="1" x14ac:dyDescent="0.3">
      <c r="K131" s="341" t="s">
        <v>473</v>
      </c>
      <c r="L131" s="342"/>
      <c r="M131" s="341"/>
      <c r="N131" s="343"/>
      <c r="O131" s="341"/>
      <c r="P131" s="341"/>
    </row>
    <row r="132" spans="11:17" ht="30" customHeight="1" thickTop="1" x14ac:dyDescent="0.25">
      <c r="K132" s="344" t="s">
        <v>479</v>
      </c>
      <c r="L132" s="335" t="s">
        <v>480</v>
      </c>
      <c r="M132" s="335" t="s">
        <v>452</v>
      </c>
      <c r="N132" s="332">
        <v>6</v>
      </c>
      <c r="O132" t="s">
        <v>455</v>
      </c>
      <c r="P132">
        <v>70</v>
      </c>
      <c r="Q132" t="s">
        <v>454</v>
      </c>
    </row>
    <row r="133" spans="11:17" ht="30" customHeight="1" x14ac:dyDescent="0.25">
      <c r="K133" s="335" t="s">
        <v>486</v>
      </c>
      <c r="L133" s="335" t="s">
        <v>481</v>
      </c>
      <c r="M133" s="335" t="s">
        <v>452</v>
      </c>
      <c r="N133" s="332">
        <v>5.75</v>
      </c>
      <c r="O133" s="335" t="s">
        <v>482</v>
      </c>
      <c r="P133">
        <v>70</v>
      </c>
      <c r="Q133" t="s">
        <v>454</v>
      </c>
    </row>
    <row r="134" spans="11:17" ht="30" customHeight="1" x14ac:dyDescent="0.25">
      <c r="L134" s="335" t="s">
        <v>483</v>
      </c>
      <c r="M134" s="335" t="s">
        <v>452</v>
      </c>
      <c r="N134" s="332">
        <v>5</v>
      </c>
      <c r="O134" t="s">
        <v>484</v>
      </c>
      <c r="P134">
        <v>70</v>
      </c>
      <c r="Q134" t="s">
        <v>454</v>
      </c>
    </row>
    <row r="135" spans="11:17" x14ac:dyDescent="0.25">
      <c r="L135" s="335"/>
      <c r="M135" s="336" t="s">
        <v>458</v>
      </c>
      <c r="N135" s="332">
        <f>AVERAGE(N132:N134)</f>
        <v>5.583333333333333</v>
      </c>
    </row>
    <row r="136" spans="11:17" x14ac:dyDescent="0.25">
      <c r="N136" s="332"/>
    </row>
    <row r="137" spans="11:17" ht="30" customHeight="1" x14ac:dyDescent="0.25">
      <c r="L137" s="335" t="s">
        <v>480</v>
      </c>
      <c r="M137" s="335" t="s">
        <v>467</v>
      </c>
      <c r="N137" s="332">
        <v>40</v>
      </c>
      <c r="O137" t="s">
        <v>455</v>
      </c>
      <c r="P137">
        <v>850</v>
      </c>
      <c r="Q137" s="307" t="s">
        <v>469</v>
      </c>
    </row>
    <row r="138" spans="11:17" ht="30" customHeight="1" x14ac:dyDescent="0.25">
      <c r="L138" s="335" t="s">
        <v>481</v>
      </c>
      <c r="M138" s="335" t="s">
        <v>467</v>
      </c>
      <c r="N138" s="332">
        <v>39</v>
      </c>
      <c r="O138" t="s">
        <v>482</v>
      </c>
      <c r="P138">
        <v>850</v>
      </c>
      <c r="Q138" s="307" t="s">
        <v>469</v>
      </c>
    </row>
    <row r="139" spans="11:17" ht="30" customHeight="1" x14ac:dyDescent="0.25">
      <c r="L139" s="335" t="s">
        <v>485</v>
      </c>
      <c r="M139" s="335" t="s">
        <v>467</v>
      </c>
      <c r="N139" s="332">
        <v>50</v>
      </c>
      <c r="O139" t="s">
        <v>462</v>
      </c>
      <c r="P139">
        <v>850</v>
      </c>
      <c r="Q139" s="307" t="s">
        <v>469</v>
      </c>
    </row>
    <row r="140" spans="11:17" x14ac:dyDescent="0.25">
      <c r="L140" s="335"/>
      <c r="M140" s="336" t="s">
        <v>458</v>
      </c>
      <c r="N140" s="332">
        <f>AVERAGE(N137:N139)</f>
        <v>43</v>
      </c>
    </row>
    <row r="141" spans="11:17" x14ac:dyDescent="0.25">
      <c r="N141" s="332"/>
    </row>
    <row r="142" spans="11:17" ht="30" customHeight="1" x14ac:dyDescent="0.25">
      <c r="L142" s="335" t="s">
        <v>481</v>
      </c>
      <c r="M142" s="335" t="s">
        <v>459</v>
      </c>
      <c r="N142" s="332">
        <v>90</v>
      </c>
      <c r="O142" t="s">
        <v>482</v>
      </c>
      <c r="P142">
        <v>1250</v>
      </c>
      <c r="Q142" s="307" t="s">
        <v>461</v>
      </c>
    </row>
    <row r="143" spans="11:17" ht="30" customHeight="1" x14ac:dyDescent="0.25">
      <c r="L143" s="335" t="s">
        <v>485</v>
      </c>
      <c r="M143" s="335" t="s">
        <v>459</v>
      </c>
      <c r="N143" s="332">
        <v>85</v>
      </c>
      <c r="O143" t="s">
        <v>462</v>
      </c>
      <c r="P143">
        <v>1250</v>
      </c>
      <c r="Q143" s="307" t="s">
        <v>461</v>
      </c>
    </row>
    <row r="144" spans="11:17" ht="30" customHeight="1" x14ac:dyDescent="0.25">
      <c r="L144" s="335" t="s">
        <v>480</v>
      </c>
      <c r="M144" s="335" t="s">
        <v>459</v>
      </c>
      <c r="N144" s="332">
        <v>90</v>
      </c>
      <c r="O144" t="s">
        <v>455</v>
      </c>
      <c r="P144">
        <v>1250</v>
      </c>
      <c r="Q144" s="307" t="s">
        <v>461</v>
      </c>
    </row>
    <row r="145" spans="13:14" x14ac:dyDescent="0.25">
      <c r="M145" s="336" t="s">
        <v>458</v>
      </c>
      <c r="N145" s="332">
        <f>AVERAGE(N142:N144)</f>
        <v>88.333333333333329</v>
      </c>
    </row>
  </sheetData>
  <sheetProtection sheet="1" objects="1" scenarios="1"/>
  <sortState ref="K81:L100">
    <sortCondition ref="K76:K95"/>
  </sortState>
  <mergeCells count="133">
    <mergeCell ref="L92:N92"/>
    <mergeCell ref="A8:B8"/>
    <mergeCell ref="A9:B9"/>
    <mergeCell ref="A10:B10"/>
    <mergeCell ref="A11:B11"/>
    <mergeCell ref="A34:B34"/>
    <mergeCell ref="A35:B35"/>
    <mergeCell ref="A36:B36"/>
    <mergeCell ref="A15:B15"/>
    <mergeCell ref="A16:B1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8:B18"/>
    <mergeCell ref="A19:B19"/>
    <mergeCell ref="A20:B20"/>
    <mergeCell ref="A59:D59"/>
    <mergeCell ref="C6:D6"/>
    <mergeCell ref="C16:D16"/>
    <mergeCell ref="C14:D14"/>
    <mergeCell ref="C13:D13"/>
    <mergeCell ref="C12:D12"/>
    <mergeCell ref="C11:D11"/>
    <mergeCell ref="C19:D19"/>
    <mergeCell ref="C27:D27"/>
    <mergeCell ref="C10:D10"/>
    <mergeCell ref="C9:D9"/>
    <mergeCell ref="C8:D8"/>
    <mergeCell ref="C7:D7"/>
    <mergeCell ref="C23:D23"/>
    <mergeCell ref="C22:D22"/>
    <mergeCell ref="C21:D21"/>
    <mergeCell ref="C20:D20"/>
    <mergeCell ref="A6:B6"/>
    <mergeCell ref="C28:D28"/>
    <mergeCell ref="A7:B7"/>
    <mergeCell ref="A12:B12"/>
    <mergeCell ref="A13:B13"/>
    <mergeCell ref="A14:B14"/>
    <mergeCell ref="A21:B21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7:F17"/>
    <mergeCell ref="E18:F18"/>
    <mergeCell ref="E19:F19"/>
    <mergeCell ref="E20:F20"/>
    <mergeCell ref="C26:D26"/>
    <mergeCell ref="C25:D25"/>
    <mergeCell ref="C24:D24"/>
    <mergeCell ref="C18:D18"/>
    <mergeCell ref="A60:D61"/>
    <mergeCell ref="E35:F35"/>
    <mergeCell ref="E36:F36"/>
    <mergeCell ref="C35:D35"/>
    <mergeCell ref="C32:D32"/>
    <mergeCell ref="C33:D33"/>
    <mergeCell ref="C34:D34"/>
    <mergeCell ref="C36:D36"/>
    <mergeCell ref="C37:D37"/>
    <mergeCell ref="A32:B32"/>
    <mergeCell ref="A33:B33"/>
    <mergeCell ref="E40:F40"/>
    <mergeCell ref="A37:B37"/>
    <mergeCell ref="A38:B38"/>
    <mergeCell ref="A39:B39"/>
    <mergeCell ref="A40:B40"/>
    <mergeCell ref="C39:D39"/>
    <mergeCell ref="C38:D38"/>
    <mergeCell ref="C55:D55"/>
    <mergeCell ref="C53:D53"/>
    <mergeCell ref="C54:D54"/>
    <mergeCell ref="C50:D50"/>
    <mergeCell ref="C51:D51"/>
    <mergeCell ref="A57:B57"/>
    <mergeCell ref="C57:D57"/>
    <mergeCell ref="A58:B58"/>
    <mergeCell ref="C58:D58"/>
    <mergeCell ref="A49:B49"/>
    <mergeCell ref="C49:D49"/>
    <mergeCell ref="C31:D31"/>
    <mergeCell ref="A17:B17"/>
    <mergeCell ref="C29:D29"/>
    <mergeCell ref="C30:D30"/>
    <mergeCell ref="C17:D17"/>
    <mergeCell ref="C52:D52"/>
    <mergeCell ref="E30:F30"/>
    <mergeCell ref="E31:F31"/>
    <mergeCell ref="E32:F32"/>
    <mergeCell ref="E33:F33"/>
    <mergeCell ref="E34:F34"/>
    <mergeCell ref="E15:F15"/>
    <mergeCell ref="E16:F16"/>
    <mergeCell ref="A56:B56"/>
    <mergeCell ref="C56:D56"/>
    <mergeCell ref="C15:D15"/>
    <mergeCell ref="E81:H81"/>
    <mergeCell ref="J81:K81"/>
    <mergeCell ref="M81:N81"/>
    <mergeCell ref="F75:H75"/>
    <mergeCell ref="B79:B81"/>
    <mergeCell ref="A80:A81"/>
    <mergeCell ref="C79:C81"/>
    <mergeCell ref="G2:G5"/>
    <mergeCell ref="H3:J3"/>
    <mergeCell ref="E4:F5"/>
    <mergeCell ref="H4:J4"/>
    <mergeCell ref="A47:D48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7:F37"/>
    <mergeCell ref="E38:F38"/>
    <mergeCell ref="E39:F39"/>
  </mergeCells>
  <hyperlinks>
    <hyperlink ref="A96" r:id="rId1"/>
    <hyperlink ref="L132" r:id="rId2"/>
  </hyperlink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95"/>
  <sheetViews>
    <sheetView showZeros="0" topLeftCell="A43" zoomScale="90" zoomScaleNormal="90" workbookViewId="0">
      <selection activeCell="C56" sqref="C56"/>
    </sheetView>
  </sheetViews>
  <sheetFormatPr defaultRowHeight="15" x14ac:dyDescent="0.25"/>
  <cols>
    <col min="1" max="1" width="24.140625" customWidth="1"/>
    <col min="2" max="2" width="11.42578125" customWidth="1"/>
    <col min="3" max="3" width="22.85546875" customWidth="1"/>
    <col min="4" max="4" width="28.85546875" customWidth="1"/>
    <col min="5" max="5" width="14" customWidth="1"/>
    <col min="6" max="6" width="10.5703125" customWidth="1"/>
    <col min="7" max="7" width="12.28515625" customWidth="1"/>
    <col min="8" max="8" width="14.140625" customWidth="1"/>
    <col min="13" max="13" width="12.85546875" customWidth="1"/>
    <col min="14" max="14" width="23.5703125" customWidth="1"/>
    <col min="15" max="15" width="31" customWidth="1"/>
    <col min="16" max="16" width="24.7109375" customWidth="1"/>
    <col min="17" max="17" width="22.42578125" customWidth="1"/>
    <col min="18" max="18" width="21.85546875" customWidth="1"/>
    <col min="19" max="19" width="22.140625" customWidth="1"/>
    <col min="20" max="20" width="24.5703125" customWidth="1"/>
    <col min="21" max="21" width="25.42578125" customWidth="1"/>
    <col min="22" max="22" width="15.7109375" customWidth="1"/>
  </cols>
  <sheetData>
    <row r="1" spans="1:23" x14ac:dyDescent="0.25">
      <c r="A1" t="s">
        <v>92</v>
      </c>
      <c r="C1" t="s">
        <v>93</v>
      </c>
      <c r="L1" t="s">
        <v>95</v>
      </c>
    </row>
    <row r="2" spans="1:23" ht="15.75" thickBot="1" x14ac:dyDescent="0.3">
      <c r="C2" t="s">
        <v>99</v>
      </c>
      <c r="L2" t="s">
        <v>96</v>
      </c>
    </row>
    <row r="3" spans="1:23" ht="84" customHeight="1" x14ac:dyDescent="0.25">
      <c r="F3" s="87" t="s">
        <v>1</v>
      </c>
    </row>
    <row r="4" spans="1:23" ht="15.75" thickBot="1" x14ac:dyDescent="0.3">
      <c r="F4" s="88"/>
      <c r="K4" t="s">
        <v>116</v>
      </c>
      <c r="O4" s="113"/>
      <c r="P4" s="114"/>
      <c r="Q4" s="612"/>
      <c r="R4" s="612"/>
      <c r="S4" s="612"/>
    </row>
    <row r="5" spans="1:23" ht="15.75" customHeight="1" thickBot="1" x14ac:dyDescent="0.3">
      <c r="F5" s="88"/>
      <c r="K5" t="s">
        <v>98</v>
      </c>
      <c r="L5" s="372" t="s">
        <v>5</v>
      </c>
      <c r="M5" s="373"/>
      <c r="N5" s="81" t="s">
        <v>103</v>
      </c>
      <c r="O5" s="81" t="s">
        <v>104</v>
      </c>
      <c r="P5" s="81" t="s">
        <v>105</v>
      </c>
      <c r="Q5" s="81" t="s">
        <v>106</v>
      </c>
      <c r="R5" s="81" t="s">
        <v>107</v>
      </c>
      <c r="S5" s="81" t="s">
        <v>108</v>
      </c>
      <c r="T5" s="81" t="s">
        <v>109</v>
      </c>
      <c r="U5" s="115" t="s">
        <v>110</v>
      </c>
      <c r="V5" s="92"/>
      <c r="W5" s="92"/>
    </row>
    <row r="6" spans="1:23" ht="16.5" thickBot="1" x14ac:dyDescent="0.3">
      <c r="C6" s="1" t="s">
        <v>2</v>
      </c>
      <c r="D6" s="2"/>
      <c r="E6" s="2"/>
      <c r="F6" s="89"/>
      <c r="G6" s="554" t="s">
        <v>3</v>
      </c>
      <c r="H6" s="554"/>
      <c r="I6" s="555"/>
      <c r="K6" s="107" t="s">
        <v>97</v>
      </c>
      <c r="L6" s="610" t="str">
        <f>Inventory!$A$18</f>
        <v>Sheep</v>
      </c>
      <c r="M6" s="611"/>
      <c r="N6" t="str">
        <f t="array" ref="N6">IFERROR(INDEX($D$9:$D$43,SMALL(IF($C$9:$C$43=$L$6,ROW($C$9:$C$43)-ROW($C$9)+1),COLUMNS($N6:N6))),"")</f>
        <v>Lamb (Market)</v>
      </c>
      <c r="O6" t="str">
        <f t="array" ref="O6">IFERROR(INDEX($D$9:$D$43,SMALL(IF($C$9:$C$43=$L$6,ROW($C$9:$C$43)-ROW($C$9)+1),COLUMNS($N6:O6))),"")</f>
        <v/>
      </c>
      <c r="P6" t="str">
        <f t="array" ref="P6">IFERROR(INDEX($D$9:$D$43,SMALL(IF($C$9:$C$43=$L$6,ROW($C$9:$C$43)-ROW($C$9)+1),COLUMNS($N6:P6))),"")</f>
        <v/>
      </c>
      <c r="Q6" t="str">
        <f t="array" ref="Q6">IFERROR(INDEX($D$9:$D$43,SMALL(IF($C$9:$C$43=$L$6,ROW($C$9:$C$43)-ROW($C$9)+1),COLUMNS($N6:Q6))),"")</f>
        <v/>
      </c>
      <c r="R6" t="str">
        <f t="array" ref="R6">IFERROR(INDEX($D$9:$D$43,SMALL(IF($C$9:$C$43=$L$6,ROW($C$9:$C$43)-ROW($C$9)+1),COLUMNS($N6:R6))),"")</f>
        <v/>
      </c>
      <c r="S6" t="str">
        <f t="array" ref="S6">IFERROR(INDEX($D$9:$D$43,SMALL(IF($C$9:$C$43=$L$6,ROW($C$9:$C$43)-ROW($C$9)+1),COLUMNS($N6:S6))),"")</f>
        <v/>
      </c>
      <c r="T6" t="str">
        <f t="array" ref="T6">IFERROR(INDEX($D$9:$D$43,SMALL(IF($C$9:$C$43=$L$6,ROW($C$9:$C$43)-ROW($C$9)+1),COLUMNS($N6:T6))),"")</f>
        <v/>
      </c>
      <c r="U6" t="str">
        <f t="array" ref="U6">IFERROR(INDEX($D$9:$D$43,SMALL(IF($C$9:$C$43=$L$6,ROW($C$9:$C$43)-ROW($C$9)+1),COLUMNS($N6:U6))),"")</f>
        <v/>
      </c>
      <c r="V6" t="str">
        <f t="array" ref="V6">IFERROR(INDEX($D$9:$D$43,SMALL(IF($C$9:$C$43=$L$6,ROW($C$9:$C$43)-ROW($C$9)+1),COLUMNS($N6:V6))),"")</f>
        <v/>
      </c>
      <c r="W6" t="str">
        <f t="array" ref="W6">IFERROR(INDEX($D$9:$D$43,SMALL(IF($C$9:$C$43=$L$6,ROW($C$9:$C$43)-ROW($C$9)+1),COLUMNS($N6:W6))),"")</f>
        <v/>
      </c>
    </row>
    <row r="7" spans="1:23" ht="16.5" customHeight="1" thickBot="1" x14ac:dyDescent="0.3">
      <c r="C7" s="3"/>
      <c r="D7" s="5"/>
      <c r="E7" s="90" t="s">
        <v>90</v>
      </c>
      <c r="G7" s="560" t="s">
        <v>4</v>
      </c>
      <c r="H7" s="560"/>
      <c r="I7" s="561"/>
      <c r="K7" s="107" t="s">
        <v>111</v>
      </c>
      <c r="L7" s="610" t="str">
        <f>Inventory!$A$19</f>
        <v>Goat</v>
      </c>
      <c r="M7" s="611"/>
      <c r="N7" t="str">
        <f t="array" ref="N7">IFERROR(INDEX($D$9:$D$43,SMALL(IF($C$9:$C$43=$L$7,ROW($C$9:$C$43)-ROW($C$9)+1),COLUMNS($N7:N7))),"")</f>
        <v>Dry (pregnant)</v>
      </c>
      <c r="O7" t="str">
        <f t="array" ref="O7">IFERROR(INDEX($D$9:$D$43,SMALL(IF($C$9:$C$43=$L$7,ROW($C$9:$C$43)-ROW($C$9)+1),COLUMNS($N7:O7))),"")</f>
        <v>Kids</v>
      </c>
      <c r="P7" t="str">
        <f t="array" ref="P7">IFERROR(INDEX($D$9:$D$43,SMALL(IF($C$9:$C$43=$L$7,ROW($C$9:$C$43)-ROW($C$9)+1),COLUMNS($N7:P7))),"")</f>
        <v/>
      </c>
      <c r="Q7" t="str">
        <f t="array" ref="Q7">IFERROR(INDEX($D$9:$D$43,SMALL(IF($C$9:$C$43=$L$7,ROW($C$9:$C$43)-ROW($C$9)+1),COLUMNS($N7:Q7))),"")</f>
        <v/>
      </c>
      <c r="R7" t="str">
        <f t="array" ref="R7">IFERROR(INDEX($D$9:$D$43,SMALL(IF($C$9:$C$43=$L$7,ROW($C$9:$C$43)-ROW($C$9)+1),COLUMNS($N7:R7))),"")</f>
        <v/>
      </c>
      <c r="S7" t="str">
        <f t="array" ref="S7">IFERROR(INDEX($D$9:$D$43,SMALL(IF($C$9:$C$43=$L$7,ROW($C$9:$C$43)-ROW($C$9)+1),COLUMNS($N7:S7))),"")</f>
        <v/>
      </c>
      <c r="T7" t="str">
        <f t="array" ref="T7">IFERROR(INDEX($D$9:$D$43,SMALL(IF($C$9:$C$43=$L$7,ROW($C$9:$C$43)-ROW($C$9)+1),COLUMNS($N7:T7))),"")</f>
        <v/>
      </c>
      <c r="U7" t="str">
        <f t="array" ref="U7">IFERROR(INDEX($D$9:$D$43,SMALL(IF($C$9:$C$43=$L$7,ROW($C$9:$C$43)-ROW($C$9)+1),COLUMNS($N7:U7))),"")</f>
        <v/>
      </c>
    </row>
    <row r="8" spans="1:23" ht="15.75" thickBot="1" x14ac:dyDescent="0.3">
      <c r="A8" s="81" t="s">
        <v>94</v>
      </c>
      <c r="C8" s="81" t="s">
        <v>5</v>
      </c>
      <c r="D8" s="81" t="s">
        <v>6</v>
      </c>
      <c r="E8" s="97" t="s">
        <v>89</v>
      </c>
      <c r="F8" s="89" t="s">
        <v>91</v>
      </c>
      <c r="G8" s="7" t="s">
        <v>7</v>
      </c>
      <c r="H8" s="8" t="s">
        <v>8</v>
      </c>
      <c r="I8" s="8" t="s">
        <v>9</v>
      </c>
      <c r="K8" s="107" t="s">
        <v>112</v>
      </c>
      <c r="L8" s="610">
        <f>Inventory!$A$20</f>
        <v>0</v>
      </c>
      <c r="M8" s="611"/>
      <c r="N8" t="str">
        <f t="array" ref="N8">IFERROR(INDEX($D$9:$D$43,SMALL(IF($C$9:$C$43=$L$8,ROW($C$9:$C$43)-ROW($C$9)+1),COLUMNS($N8:N8))),"")</f>
        <v/>
      </c>
      <c r="O8" t="str">
        <f t="array" ref="O8">IFERROR(INDEX($D$9:$D$43,SMALL(IF($C$9:$C$43=$L$8,ROW($C$9:$C$43)-ROW($C$9)+1),COLUMNS($N8:O8))),"")</f>
        <v/>
      </c>
      <c r="P8" t="str">
        <f t="array" ref="P8">IFERROR(INDEX($D$9:$D$43,SMALL(IF($C$9:$C$43=$L$8,ROW($C$9:$C$43)-ROW($C$9)+1),COLUMNS($N8:P8))),"")</f>
        <v/>
      </c>
      <c r="Q8" t="str">
        <f t="array" ref="Q8">IFERROR(INDEX($D$9:$D$43,SMALL(IF($C$9:$C$43=$L$8,ROW($C$9:$C$43)-ROW($C$9)+1),COLUMNS($N8:Q8))),"")</f>
        <v/>
      </c>
      <c r="R8" t="str">
        <f t="array" ref="R8">IFERROR(INDEX($D$9:$D$43,SMALL(IF($C$9:$C$43=$L$8,ROW($C$9:$C$43)-ROW($C$9)+1),COLUMNS($N8:R8))),"")</f>
        <v/>
      </c>
      <c r="S8" t="str">
        <f t="array" ref="S8">IFERROR(INDEX($D$9:$D$43,SMALL(IF($C$9:$C$43=$L$8,ROW($C$9:$C$43)-ROW($C$9)+1),COLUMNS($N8:S8))),"")</f>
        <v/>
      </c>
      <c r="T8" t="str">
        <f t="array" ref="T8">IFERROR(INDEX($D$9:$D$43,SMALL(IF($C$9:$C$43=$L$8,ROW($C$9:$C$43)-ROW($C$9)+1),COLUMNS($N8:T8))),"")</f>
        <v/>
      </c>
      <c r="U8" t="str">
        <f t="array" ref="U8">IFERROR(INDEX($D$9:$D$43,SMALL(IF($C$9:$C$43=$L$8,ROW($C$9:$C$43)-ROW($C$9)+1),COLUMNS($N8:U8))),"")</f>
        <v/>
      </c>
    </row>
    <row r="9" spans="1:23" ht="15.75" thickBot="1" x14ac:dyDescent="0.3">
      <c r="A9" s="84" t="s">
        <v>10</v>
      </c>
      <c r="C9" s="90" t="s">
        <v>10</v>
      </c>
      <c r="D9" s="95" t="s">
        <v>11</v>
      </c>
      <c r="E9" s="91">
        <v>1200</v>
      </c>
      <c r="F9" s="9">
        <v>120</v>
      </c>
      <c r="G9" s="101">
        <v>104</v>
      </c>
      <c r="H9" s="11">
        <v>1.7</v>
      </c>
      <c r="I9" s="11">
        <v>88</v>
      </c>
      <c r="K9" s="107" t="s">
        <v>113</v>
      </c>
      <c r="L9" s="610">
        <f>Inventory!$A$21</f>
        <v>0</v>
      </c>
      <c r="M9" s="611"/>
      <c r="N9" t="str">
        <f t="array" ref="N9">IFERROR(INDEX($D$9:$D$43,SMALL(IF($C$9:$C$43=$L$9,ROW($C$9:$C$43)-ROW($C$9)+1),COLUMNS($N9:N9))),"")</f>
        <v/>
      </c>
      <c r="O9" t="str">
        <f t="array" ref="O9">IFERROR(INDEX($D$9:$D$43,SMALL(IF($C$9:$C$43=$L$9,ROW($C$9:$C$43)-ROW($C$9)+1),COLUMNS($N9:O9))),"")</f>
        <v/>
      </c>
      <c r="P9" t="str">
        <f t="array" ref="P9">IFERROR(INDEX($D$9:$D$43,SMALL(IF($C$9:$C$43=$L$9,ROW($C$9:$C$43)-ROW($C$9)+1),COLUMNS($N9:P9))),"")</f>
        <v/>
      </c>
      <c r="Q9" t="str">
        <f t="array" ref="Q9">IFERROR(INDEX($D$9:$D$43,SMALL(IF($C$9:$C$43=$L$9,ROW($C$9:$C$43)-ROW($C$9)+1),COLUMNS($N9:Q9))),"")</f>
        <v/>
      </c>
      <c r="R9" t="str">
        <f t="array" ref="R9">IFERROR(INDEX($D$9:$D$43,SMALL(IF($C$9:$C$43=$L$9,ROW($C$9:$C$43)-ROW($C$9)+1),COLUMNS($N9:R9))),"")</f>
        <v/>
      </c>
      <c r="S9" t="str">
        <f t="array" ref="S9">IFERROR(INDEX($D$9:$D$43,SMALL(IF($C$9:$C$43=$L$9,ROW($C$9:$C$43)-ROW($C$9)+1),COLUMNS($N9:S9))),"")</f>
        <v/>
      </c>
      <c r="T9" t="str">
        <f t="array" ref="T9">IFERROR(INDEX($D$9:$D$43,SMALL(IF($C$9:$C$43=$L$9,ROW($C$9:$C$43)-ROW($C$9)+1),COLUMNS($N9:T9))),"")</f>
        <v/>
      </c>
      <c r="U9" t="str">
        <f t="array" ref="U9">IFERROR(INDEX($D$9:$D$43,SMALL(IF($C$9:$C$43=$L$9,ROW($C$9:$C$43)-ROW($C$9)+1),COLUMNS($N9:U9))),"")</f>
        <v/>
      </c>
    </row>
    <row r="10" spans="1:23" ht="15.75" thickBot="1" x14ac:dyDescent="0.3">
      <c r="A10" s="84" t="s">
        <v>82</v>
      </c>
      <c r="C10" s="93" t="s">
        <v>10</v>
      </c>
      <c r="D10" s="96" t="s">
        <v>12</v>
      </c>
      <c r="E10" s="94">
        <v>600</v>
      </c>
      <c r="F10" s="9">
        <v>50</v>
      </c>
      <c r="G10" s="13">
        <v>77</v>
      </c>
      <c r="H10" s="11">
        <v>1.2</v>
      </c>
      <c r="I10" s="11">
        <v>88</v>
      </c>
      <c r="K10" s="107" t="s">
        <v>114</v>
      </c>
      <c r="L10" s="610">
        <f>Inventory!$A$22</f>
        <v>0</v>
      </c>
      <c r="M10" s="611"/>
      <c r="N10" t="str">
        <f t="array" ref="N10">IFERROR(INDEX($D$9:$D$43,SMALL(IF($C$9:$C$43=$L$10,ROW($C$9:$C$43)-ROW($C$9)+1),COLUMNS($N10:N10))),"")</f>
        <v/>
      </c>
      <c r="O10" t="str">
        <f t="array" ref="O10">IFERROR(INDEX($D$9:$D$43,SMALL(IF($C$9:$C$43=$L$10,ROW($C$9:$C$43)-ROW($C$9)+1),COLUMNS($N10:O10))),"")</f>
        <v/>
      </c>
      <c r="P10" t="str">
        <f t="array" ref="P10">IFERROR(INDEX($D$9:$D$43,SMALL(IF($C$9:$C$43=$L$10,ROW($C$9:$C$43)-ROW($C$9)+1),COLUMNS($N10:P10))),"")</f>
        <v/>
      </c>
      <c r="Q10" t="str">
        <f t="array" ref="Q10">IFERROR(INDEX($D$9:$D$43,SMALL(IF($C$9:$C$43=$L$10,ROW($C$9:$C$43)-ROW($C$9)+1),COLUMNS($N10:Q10))),"")</f>
        <v/>
      </c>
      <c r="R10" t="str">
        <f t="array" ref="R10">IFERROR(INDEX($D$9:$D$43,SMALL(IF($C$9:$C$43=$L$10,ROW($C$9:$C$43)-ROW($C$9)+1),COLUMNS($N10:R10))),"")</f>
        <v/>
      </c>
      <c r="S10" t="str">
        <f t="array" ref="S10">IFERROR(INDEX($D$9:$D$43,SMALL(IF($C$9:$C$43=$L$10,ROW($C$9:$C$43)-ROW($C$9)+1),COLUMNS($N10:S10))),"")</f>
        <v/>
      </c>
      <c r="T10" t="str">
        <f t="array" ref="T10">IFERROR(INDEX($D$9:$D$43,SMALL(IF($C$9:$C$43=$L$10,ROW($C$9:$C$43)-ROW($C$9)+1),COLUMNS($N10:T10))),"")</f>
        <v/>
      </c>
      <c r="U10" t="str">
        <f t="array" ref="U10">IFERROR(INDEX($D$9:$D$43,SMALL(IF($C$9:$C$43=$L$10,ROW($C$9:$C$43)-ROW($C$9)+1),COLUMNS($N10:U10))),"")</f>
        <v/>
      </c>
    </row>
    <row r="11" spans="1:23" ht="15.75" thickBot="1" x14ac:dyDescent="0.3">
      <c r="A11" s="84" t="s">
        <v>100</v>
      </c>
      <c r="C11" s="93" t="s">
        <v>10</v>
      </c>
      <c r="D11" s="96" t="s">
        <v>13</v>
      </c>
      <c r="E11" s="94">
        <v>1000</v>
      </c>
      <c r="F11" s="9">
        <v>70</v>
      </c>
      <c r="G11" s="13">
        <v>65</v>
      </c>
      <c r="H11" s="11">
        <v>1.1000000000000001</v>
      </c>
      <c r="I11" s="11">
        <v>92</v>
      </c>
      <c r="K11" s="107" t="s">
        <v>115</v>
      </c>
      <c r="L11" s="610">
        <f>Inventory!$A$23</f>
        <v>0</v>
      </c>
      <c r="M11" s="611"/>
      <c r="N11" t="str">
        <f t="array" ref="N11">IFERROR(INDEX($D$9:$D$43,SMALL(IF($C$9:$C$43=$L$11,ROW($C$9:$C$43)-ROW($C$9)+1),COLUMNS($N11:N11))),"")</f>
        <v/>
      </c>
      <c r="O11" t="str">
        <f t="array" ref="O11">IFERROR(INDEX($D$9:$D$43,SMALL(IF($C$9:$C$43=$L$11,ROW($C$9:$C$43)-ROW($C$9)+1),COLUMNS($N11:O11))),"")</f>
        <v/>
      </c>
      <c r="P11" t="str">
        <f t="array" ref="P11">IFERROR(INDEX($D$9:$D$43,SMALL(IF($C$9:$C$43=$L$11,ROW($C$9:$C$43)-ROW($C$9)+1),COLUMNS($N11:P11))),"")</f>
        <v/>
      </c>
      <c r="Q11" t="str">
        <f t="array" ref="Q11">IFERROR(INDEX($D$9:$D$43,SMALL(IF($C$9:$C$43=$L$11,ROW($C$9:$C$43)-ROW($C$9)+1),COLUMNS($N11:Q11))),"")</f>
        <v/>
      </c>
      <c r="R11" t="str">
        <f t="array" ref="R11">IFERROR(INDEX($D$9:$D$43,SMALL(IF($C$9:$C$43=$L$11,ROW($C$9:$C$43)-ROW($C$9)+1),COLUMNS($N11:R11))),"")</f>
        <v/>
      </c>
      <c r="S11" t="str">
        <f t="array" ref="S11">IFERROR(INDEX($D$9:$D$43,SMALL(IF($C$9:$C$43=$L$11,ROW($C$9:$C$43)-ROW($C$9)+1),COLUMNS($N11:S11))),"")</f>
        <v/>
      </c>
      <c r="T11" t="str">
        <f t="array" ref="T11">IFERROR(INDEX($D$9:$D$43,SMALL(IF($C$9:$C$43=$L$11,ROW($C$9:$C$43)-ROW($C$9)+1),COLUMNS($N11:T11))),"")</f>
        <v/>
      </c>
      <c r="U11" t="str">
        <f t="array" ref="U11">IFERROR(INDEX($D$9:$D$43,SMALL(IF($C$9:$C$43=$L$11,ROW($C$9:$C$43)-ROW($C$9)+1),COLUMNS($N11:U11))),"")</f>
        <v/>
      </c>
    </row>
    <row r="12" spans="1:23" x14ac:dyDescent="0.25">
      <c r="A12" s="84" t="s">
        <v>85</v>
      </c>
      <c r="C12" s="93" t="s">
        <v>82</v>
      </c>
      <c r="D12" s="96" t="s">
        <v>83</v>
      </c>
      <c r="E12" s="94">
        <v>1660</v>
      </c>
      <c r="F12" s="9">
        <v>120</v>
      </c>
      <c r="G12" s="13">
        <v>51</v>
      </c>
      <c r="H12" s="11">
        <v>0.84</v>
      </c>
      <c r="I12" s="11">
        <v>87</v>
      </c>
    </row>
    <row r="13" spans="1:23" x14ac:dyDescent="0.25">
      <c r="A13" s="84" t="s">
        <v>101</v>
      </c>
      <c r="C13" s="93" t="s">
        <v>82</v>
      </c>
      <c r="D13" s="96" t="s">
        <v>86</v>
      </c>
      <c r="E13" s="94">
        <v>850</v>
      </c>
      <c r="F13" s="9">
        <v>60</v>
      </c>
      <c r="G13" s="13">
        <v>56</v>
      </c>
      <c r="H13" s="11">
        <v>0.9</v>
      </c>
      <c r="I13" s="11">
        <v>83</v>
      </c>
    </row>
    <row r="14" spans="1:23" x14ac:dyDescent="0.25">
      <c r="A14" s="84" t="s">
        <v>24</v>
      </c>
      <c r="C14" s="93" t="s">
        <v>82</v>
      </c>
      <c r="D14" s="96" t="s">
        <v>84</v>
      </c>
      <c r="E14" s="94">
        <v>330</v>
      </c>
      <c r="F14" s="9">
        <v>40</v>
      </c>
      <c r="G14" s="13">
        <v>83</v>
      </c>
      <c r="H14" s="11">
        <v>1.3</v>
      </c>
      <c r="I14" s="11">
        <v>83</v>
      </c>
    </row>
    <row r="15" spans="1:23" x14ac:dyDescent="0.25">
      <c r="A15" s="84" t="s">
        <v>102</v>
      </c>
      <c r="C15" s="93" t="s">
        <v>100</v>
      </c>
      <c r="D15" s="96" t="s">
        <v>75</v>
      </c>
      <c r="E15" s="94">
        <v>1400</v>
      </c>
      <c r="F15" s="9">
        <v>120</v>
      </c>
      <c r="G15" s="12">
        <v>65</v>
      </c>
      <c r="H15" s="11">
        <v>1.1000000000000001</v>
      </c>
      <c r="I15" s="11">
        <v>87</v>
      </c>
    </row>
    <row r="16" spans="1:23" x14ac:dyDescent="0.25">
      <c r="A16" s="85" t="s">
        <v>14</v>
      </c>
      <c r="C16" s="93" t="s">
        <v>100</v>
      </c>
      <c r="D16" s="96" t="s">
        <v>74</v>
      </c>
      <c r="E16" s="94">
        <v>1400</v>
      </c>
      <c r="F16" s="9">
        <v>120</v>
      </c>
      <c r="G16" s="12">
        <v>80</v>
      </c>
      <c r="H16" s="13">
        <v>1.3</v>
      </c>
      <c r="I16" s="13">
        <v>87</v>
      </c>
    </row>
    <row r="17" spans="1:20" x14ac:dyDescent="0.25">
      <c r="A17" s="85" t="s">
        <v>16</v>
      </c>
      <c r="C17" s="93" t="s">
        <v>100</v>
      </c>
      <c r="D17" s="96" t="s">
        <v>76</v>
      </c>
      <c r="E17" s="94">
        <v>1400</v>
      </c>
      <c r="F17" s="9">
        <v>120</v>
      </c>
      <c r="G17" s="12">
        <v>88</v>
      </c>
      <c r="H17" s="11">
        <v>1.5</v>
      </c>
      <c r="I17" s="11">
        <v>87</v>
      </c>
      <c r="L17" s="110"/>
    </row>
    <row r="18" spans="1:20" x14ac:dyDescent="0.25">
      <c r="A18" s="84" t="s">
        <v>28</v>
      </c>
      <c r="C18" s="93" t="s">
        <v>100</v>
      </c>
      <c r="D18" s="96" t="s">
        <v>77</v>
      </c>
      <c r="E18" s="94">
        <v>1400</v>
      </c>
      <c r="F18" s="9">
        <v>120</v>
      </c>
      <c r="G18" s="13">
        <v>97</v>
      </c>
      <c r="H18" s="11">
        <v>1.6</v>
      </c>
      <c r="I18" s="11">
        <v>87</v>
      </c>
      <c r="L18" s="110"/>
    </row>
    <row r="19" spans="1:20" ht="15.75" thickBot="1" x14ac:dyDescent="0.3">
      <c r="A19" s="86" t="s">
        <v>17</v>
      </c>
      <c r="C19" s="93" t="s">
        <v>100</v>
      </c>
      <c r="D19" s="96" t="s">
        <v>78</v>
      </c>
      <c r="E19" s="94">
        <v>1400</v>
      </c>
      <c r="F19" s="9">
        <v>120</v>
      </c>
      <c r="G19" s="12">
        <v>102</v>
      </c>
      <c r="H19" s="11">
        <v>1.65</v>
      </c>
      <c r="I19" s="11">
        <v>87</v>
      </c>
    </row>
    <row r="20" spans="1:20" x14ac:dyDescent="0.25">
      <c r="C20" s="93" t="s">
        <v>100</v>
      </c>
      <c r="D20" s="96" t="s">
        <v>79</v>
      </c>
      <c r="E20" s="94">
        <v>1400</v>
      </c>
      <c r="F20" s="9">
        <v>120</v>
      </c>
      <c r="G20" s="13">
        <v>108</v>
      </c>
      <c r="H20" s="11">
        <v>1.7</v>
      </c>
      <c r="I20" s="11">
        <v>87</v>
      </c>
      <c r="L20" s="109"/>
    </row>
    <row r="21" spans="1:20" x14ac:dyDescent="0.25">
      <c r="C21" s="93" t="s">
        <v>100</v>
      </c>
      <c r="D21" s="96" t="s">
        <v>80</v>
      </c>
      <c r="E21" s="94">
        <v>1400</v>
      </c>
      <c r="F21" s="9">
        <v>120</v>
      </c>
      <c r="G21" s="13">
        <v>119</v>
      </c>
      <c r="H21" s="11">
        <v>1.9</v>
      </c>
      <c r="I21" s="11">
        <v>87</v>
      </c>
      <c r="L21" s="111"/>
      <c r="M21" s="112"/>
      <c r="N21" s="112"/>
      <c r="O21" s="112"/>
      <c r="P21" s="112"/>
      <c r="Q21" s="112"/>
      <c r="R21" s="112"/>
      <c r="S21" s="112"/>
      <c r="T21" s="112"/>
    </row>
    <row r="22" spans="1:20" x14ac:dyDescent="0.25">
      <c r="C22" s="93" t="s">
        <v>100</v>
      </c>
      <c r="D22" s="96" t="s">
        <v>81</v>
      </c>
      <c r="E22" s="94">
        <v>1400</v>
      </c>
      <c r="F22" s="9">
        <v>120</v>
      </c>
      <c r="G22" s="13">
        <v>130</v>
      </c>
      <c r="H22" s="11">
        <v>2.1</v>
      </c>
      <c r="I22" s="11">
        <v>87</v>
      </c>
      <c r="L22" s="116"/>
    </row>
    <row r="23" spans="1:20" x14ac:dyDescent="0.25">
      <c r="C23" s="93" t="s">
        <v>85</v>
      </c>
      <c r="D23" s="96" t="s">
        <v>83</v>
      </c>
      <c r="E23" s="94">
        <v>1100</v>
      </c>
      <c r="F23" s="9">
        <v>100</v>
      </c>
      <c r="G23" s="13">
        <v>51</v>
      </c>
      <c r="H23" s="11">
        <v>0.84</v>
      </c>
      <c r="I23" s="11">
        <v>87</v>
      </c>
      <c r="L23" s="117"/>
    </row>
    <row r="24" spans="1:20" x14ac:dyDescent="0.25">
      <c r="C24" s="93" t="s">
        <v>85</v>
      </c>
      <c r="D24" s="96" t="s">
        <v>86</v>
      </c>
      <c r="E24" s="94">
        <v>650</v>
      </c>
      <c r="F24" s="9">
        <v>50</v>
      </c>
      <c r="G24" s="13">
        <v>77</v>
      </c>
      <c r="H24" s="11">
        <v>0.9</v>
      </c>
      <c r="I24" s="11">
        <v>83</v>
      </c>
      <c r="L24" s="108"/>
    </row>
    <row r="25" spans="1:20" x14ac:dyDescent="0.25">
      <c r="C25" s="93" t="s">
        <v>85</v>
      </c>
      <c r="D25" s="96" t="s">
        <v>84</v>
      </c>
      <c r="E25" s="94">
        <v>225</v>
      </c>
      <c r="F25" s="9">
        <v>40</v>
      </c>
      <c r="G25" s="13">
        <v>83</v>
      </c>
      <c r="H25" s="13">
        <v>1.3</v>
      </c>
      <c r="I25" s="13">
        <v>83</v>
      </c>
    </row>
    <row r="26" spans="1:20" x14ac:dyDescent="0.25">
      <c r="C26" s="93" t="s">
        <v>101</v>
      </c>
      <c r="D26" s="96" t="s">
        <v>75</v>
      </c>
      <c r="E26" s="94">
        <v>900</v>
      </c>
      <c r="F26" s="9">
        <v>100</v>
      </c>
      <c r="G26" s="12">
        <v>100</v>
      </c>
      <c r="H26" s="11">
        <v>1.6</v>
      </c>
      <c r="I26" s="11">
        <v>87</v>
      </c>
    </row>
    <row r="27" spans="1:20" x14ac:dyDescent="0.25">
      <c r="C27" s="93" t="s">
        <v>101</v>
      </c>
      <c r="D27" s="96" t="s">
        <v>74</v>
      </c>
      <c r="E27" s="94">
        <v>900</v>
      </c>
      <c r="F27" s="9">
        <v>100</v>
      </c>
      <c r="G27" s="13">
        <v>111</v>
      </c>
      <c r="H27" s="11">
        <v>1.7</v>
      </c>
      <c r="I27" s="11">
        <v>87</v>
      </c>
    </row>
    <row r="28" spans="1:20" x14ac:dyDescent="0.25">
      <c r="C28" s="93" t="s">
        <v>101</v>
      </c>
      <c r="D28" s="96" t="s">
        <v>76</v>
      </c>
      <c r="E28" s="94">
        <v>900</v>
      </c>
      <c r="F28" s="9">
        <v>100</v>
      </c>
      <c r="G28" s="13">
        <v>116</v>
      </c>
      <c r="H28" s="13">
        <v>1.9</v>
      </c>
      <c r="I28" s="13">
        <v>87</v>
      </c>
    </row>
    <row r="29" spans="1:20" x14ac:dyDescent="0.25">
      <c r="C29" s="93" t="s">
        <v>101</v>
      </c>
      <c r="D29" s="96" t="s">
        <v>77</v>
      </c>
      <c r="E29" s="94">
        <v>900</v>
      </c>
      <c r="F29" s="9">
        <v>100</v>
      </c>
      <c r="G29" s="13">
        <v>123</v>
      </c>
      <c r="H29" s="11">
        <v>2</v>
      </c>
      <c r="I29" s="11">
        <v>87</v>
      </c>
    </row>
    <row r="30" spans="1:20" x14ac:dyDescent="0.25">
      <c r="C30" s="93" t="s">
        <v>101</v>
      </c>
      <c r="D30" s="96" t="s">
        <v>78</v>
      </c>
      <c r="E30" s="94">
        <v>900</v>
      </c>
      <c r="F30" s="9">
        <v>100</v>
      </c>
      <c r="G30" s="13">
        <v>130</v>
      </c>
      <c r="H30" s="11">
        <v>2.1</v>
      </c>
      <c r="I30" s="11">
        <v>87</v>
      </c>
    </row>
    <row r="31" spans="1:20" x14ac:dyDescent="0.25">
      <c r="C31" s="93" t="s">
        <v>101</v>
      </c>
      <c r="D31" s="96" t="s">
        <v>79</v>
      </c>
      <c r="E31" s="94">
        <v>900</v>
      </c>
      <c r="F31" s="9">
        <v>100</v>
      </c>
      <c r="G31" s="13">
        <v>144</v>
      </c>
      <c r="H31" s="13">
        <v>2.2000000000000002</v>
      </c>
      <c r="I31" s="13">
        <v>87</v>
      </c>
    </row>
    <row r="32" spans="1:20" x14ac:dyDescent="0.25">
      <c r="C32" s="93" t="s">
        <v>24</v>
      </c>
      <c r="D32" s="96" t="s">
        <v>26</v>
      </c>
      <c r="E32" s="94">
        <v>150</v>
      </c>
      <c r="F32" s="20">
        <v>15</v>
      </c>
      <c r="G32" s="13">
        <v>117</v>
      </c>
      <c r="H32" s="11">
        <v>2</v>
      </c>
      <c r="I32" s="11">
        <v>56</v>
      </c>
    </row>
    <row r="33" spans="3:9" x14ac:dyDescent="0.25">
      <c r="C33" s="93" t="s">
        <v>24</v>
      </c>
      <c r="D33" s="96" t="s">
        <v>27</v>
      </c>
      <c r="E33" s="94">
        <v>30</v>
      </c>
      <c r="F33" s="20">
        <v>4</v>
      </c>
      <c r="G33" s="13">
        <v>117</v>
      </c>
      <c r="H33" s="11">
        <v>2</v>
      </c>
      <c r="I33" s="11">
        <v>56</v>
      </c>
    </row>
    <row r="34" spans="3:9" x14ac:dyDescent="0.25">
      <c r="C34" s="93" t="s">
        <v>102</v>
      </c>
      <c r="D34" s="96" t="s">
        <v>25</v>
      </c>
      <c r="E34" s="94">
        <v>120</v>
      </c>
      <c r="F34" s="20">
        <v>20</v>
      </c>
      <c r="G34" s="13">
        <v>117</v>
      </c>
      <c r="H34" s="11">
        <v>2</v>
      </c>
      <c r="I34" s="11">
        <v>56</v>
      </c>
    </row>
    <row r="35" spans="3:9" x14ac:dyDescent="0.25">
      <c r="C35" s="93" t="s">
        <v>14</v>
      </c>
      <c r="D35" s="96" t="s">
        <v>15</v>
      </c>
      <c r="E35" s="98">
        <v>1100</v>
      </c>
      <c r="F35" s="9">
        <v>120</v>
      </c>
      <c r="G35" s="13">
        <v>51</v>
      </c>
      <c r="H35" s="11">
        <v>0.82</v>
      </c>
      <c r="I35" s="11">
        <v>85</v>
      </c>
    </row>
    <row r="36" spans="3:9" x14ac:dyDescent="0.25">
      <c r="C36" s="93" t="s">
        <v>16</v>
      </c>
      <c r="D36" s="96" t="s">
        <v>15</v>
      </c>
      <c r="E36" s="98">
        <v>400</v>
      </c>
      <c r="F36" s="9">
        <v>120</v>
      </c>
      <c r="G36" s="13">
        <v>40</v>
      </c>
      <c r="H36" s="102">
        <v>0.85</v>
      </c>
      <c r="I36" s="102">
        <v>83</v>
      </c>
    </row>
    <row r="37" spans="3:9" x14ac:dyDescent="0.25">
      <c r="C37" s="93" t="s">
        <v>28</v>
      </c>
      <c r="D37" s="6" t="s">
        <v>29</v>
      </c>
      <c r="E37" s="94">
        <v>100</v>
      </c>
      <c r="F37" s="20">
        <v>20</v>
      </c>
      <c r="G37" s="13">
        <v>110</v>
      </c>
      <c r="H37" s="11">
        <v>1.8</v>
      </c>
      <c r="I37" s="11">
        <v>57</v>
      </c>
    </row>
    <row r="38" spans="3:9" x14ac:dyDescent="0.25">
      <c r="C38" s="93" t="s">
        <v>17</v>
      </c>
      <c r="D38" s="96" t="s">
        <v>18</v>
      </c>
      <c r="E38" s="94">
        <v>440</v>
      </c>
      <c r="F38" s="9">
        <v>60</v>
      </c>
      <c r="G38" s="13">
        <v>19</v>
      </c>
      <c r="H38" s="11">
        <v>0.3</v>
      </c>
      <c r="I38" s="11">
        <v>90</v>
      </c>
    </row>
    <row r="39" spans="3:9" x14ac:dyDescent="0.25">
      <c r="C39" s="93" t="s">
        <v>17</v>
      </c>
      <c r="D39" s="96" t="s">
        <v>19</v>
      </c>
      <c r="E39" s="94">
        <v>440</v>
      </c>
      <c r="F39" s="9">
        <v>48</v>
      </c>
      <c r="G39" s="13">
        <v>25</v>
      </c>
      <c r="H39" s="13">
        <v>0.41</v>
      </c>
      <c r="I39" s="13">
        <v>90</v>
      </c>
    </row>
    <row r="40" spans="3:9" x14ac:dyDescent="0.25">
      <c r="C40" s="93" t="s">
        <v>17</v>
      </c>
      <c r="D40" s="96" t="s">
        <v>20</v>
      </c>
      <c r="E40" s="94">
        <v>300</v>
      </c>
      <c r="F40" s="9">
        <v>25</v>
      </c>
      <c r="G40" s="13">
        <v>65</v>
      </c>
      <c r="H40" s="11">
        <v>1.1000000000000001</v>
      </c>
      <c r="I40" s="11">
        <v>90</v>
      </c>
    </row>
    <row r="41" spans="3:9" x14ac:dyDescent="0.25">
      <c r="C41" s="93" t="s">
        <v>17</v>
      </c>
      <c r="D41" s="96" t="s">
        <v>21</v>
      </c>
      <c r="E41" s="94">
        <v>154</v>
      </c>
      <c r="F41" s="9">
        <v>15</v>
      </c>
      <c r="G41" s="13">
        <v>65</v>
      </c>
      <c r="H41" s="11">
        <v>1.1000000000000001</v>
      </c>
      <c r="I41" s="11">
        <v>90</v>
      </c>
    </row>
    <row r="42" spans="3:9" x14ac:dyDescent="0.25">
      <c r="C42" s="93" t="s">
        <v>17</v>
      </c>
      <c r="D42" s="96" t="s">
        <v>22</v>
      </c>
      <c r="E42" s="94">
        <v>423</v>
      </c>
      <c r="F42" s="9">
        <v>60</v>
      </c>
      <c r="G42" s="13">
        <v>59</v>
      </c>
      <c r="H42" s="13">
        <v>0.97</v>
      </c>
      <c r="I42" s="13">
        <v>90</v>
      </c>
    </row>
    <row r="43" spans="3:9" ht="15.75" thickBot="1" x14ac:dyDescent="0.3">
      <c r="C43" s="103" t="s">
        <v>17</v>
      </c>
      <c r="D43" s="99" t="s">
        <v>23</v>
      </c>
      <c r="E43" s="104">
        <v>25</v>
      </c>
      <c r="F43" s="100">
        <v>6</v>
      </c>
      <c r="G43" s="24">
        <v>88</v>
      </c>
      <c r="H43" s="25">
        <v>1.4</v>
      </c>
      <c r="I43" s="25">
        <v>90</v>
      </c>
    </row>
    <row r="46" spans="3:9" ht="15" customHeight="1" x14ac:dyDescent="0.25"/>
    <row r="49" spans="1:7" ht="16.5" thickBot="1" x14ac:dyDescent="0.3">
      <c r="A49" s="78" t="s">
        <v>328</v>
      </c>
    </row>
    <row r="50" spans="1:7" ht="38.25" x14ac:dyDescent="0.25">
      <c r="A50" s="203" t="s">
        <v>45</v>
      </c>
      <c r="B50" s="197" t="s">
        <v>157</v>
      </c>
      <c r="C50" s="197" t="s">
        <v>323</v>
      </c>
    </row>
    <row r="51" spans="1:7" x14ac:dyDescent="0.25">
      <c r="A51" s="37" t="s">
        <v>487</v>
      </c>
      <c r="B51" s="202">
        <v>12</v>
      </c>
      <c r="C51" s="202">
        <v>60</v>
      </c>
    </row>
    <row r="52" spans="1:7" x14ac:dyDescent="0.25">
      <c r="A52" s="37" t="s">
        <v>419</v>
      </c>
      <c r="B52" s="202">
        <v>10</v>
      </c>
      <c r="C52" s="202">
        <v>90</v>
      </c>
    </row>
    <row r="53" spans="1:7" x14ac:dyDescent="0.25">
      <c r="A53" s="37" t="s">
        <v>320</v>
      </c>
      <c r="B53" s="202">
        <v>10</v>
      </c>
      <c r="C53" s="202">
        <v>30</v>
      </c>
    </row>
    <row r="54" spans="1:7" x14ac:dyDescent="0.25">
      <c r="A54" s="37" t="s">
        <v>47</v>
      </c>
      <c r="B54" s="202">
        <v>40</v>
      </c>
      <c r="C54" s="202">
        <v>60</v>
      </c>
    </row>
    <row r="55" spans="1:7" x14ac:dyDescent="0.25">
      <c r="A55" s="37" t="s">
        <v>49</v>
      </c>
      <c r="B55" s="202">
        <v>10</v>
      </c>
      <c r="C55" s="202">
        <v>80</v>
      </c>
    </row>
    <row r="56" spans="1:7" x14ac:dyDescent="0.25">
      <c r="A56" s="37" t="s">
        <v>48</v>
      </c>
      <c r="B56" s="202">
        <v>15</v>
      </c>
      <c r="C56" s="202">
        <v>100</v>
      </c>
    </row>
    <row r="57" spans="1:7" x14ac:dyDescent="0.25">
      <c r="A57" s="218" t="s">
        <v>321</v>
      </c>
      <c r="B57" s="202">
        <v>40</v>
      </c>
      <c r="C57" s="202">
        <v>200</v>
      </c>
    </row>
    <row r="58" spans="1:7" x14ac:dyDescent="0.25">
      <c r="A58" s="37" t="s">
        <v>329</v>
      </c>
      <c r="B58" s="202">
        <v>25</v>
      </c>
      <c r="C58" s="202">
        <v>300</v>
      </c>
    </row>
    <row r="59" spans="1:7" x14ac:dyDescent="0.25">
      <c r="A59" s="201"/>
      <c r="B59" s="214"/>
      <c r="C59" s="214"/>
    </row>
    <row r="60" spans="1:7" ht="15.75" thickBot="1" x14ac:dyDescent="0.3">
      <c r="A60" s="201" t="s">
        <v>346</v>
      </c>
      <c r="B60" s="214"/>
      <c r="C60" s="214"/>
    </row>
    <row r="61" spans="1:7" x14ac:dyDescent="0.25">
      <c r="A61" s="215" t="s">
        <v>45</v>
      </c>
      <c r="B61" s="216" t="s">
        <v>199</v>
      </c>
      <c r="C61" s="216" t="s">
        <v>73</v>
      </c>
      <c r="D61" s="217" t="s">
        <v>348</v>
      </c>
      <c r="E61" s="326" t="s">
        <v>440</v>
      </c>
      <c r="F61" s="331"/>
      <c r="G61" s="330"/>
    </row>
    <row r="62" spans="1:7" ht="30" x14ac:dyDescent="0.25">
      <c r="A62" s="219" t="s">
        <v>345</v>
      </c>
      <c r="B62" s="220">
        <v>0.22</v>
      </c>
      <c r="C62" s="220">
        <v>70</v>
      </c>
      <c r="D62" s="221" t="s">
        <v>491</v>
      </c>
      <c r="E62" s="327">
        <v>5.6</v>
      </c>
      <c r="F62" s="266"/>
      <c r="G62" s="267"/>
    </row>
    <row r="63" spans="1:7" ht="30" x14ac:dyDescent="0.25">
      <c r="A63" s="219" t="s">
        <v>198</v>
      </c>
      <c r="B63" s="220">
        <v>3.5</v>
      </c>
      <c r="C63" s="220">
        <v>1250</v>
      </c>
      <c r="D63" s="221" t="s">
        <v>492</v>
      </c>
      <c r="E63" s="327">
        <v>88</v>
      </c>
      <c r="F63" s="266"/>
      <c r="G63" s="267"/>
    </row>
    <row r="64" spans="1:7" ht="30.75" thickBot="1" x14ac:dyDescent="0.3">
      <c r="A64" s="271" t="s">
        <v>407</v>
      </c>
      <c r="B64" s="272">
        <v>3</v>
      </c>
      <c r="C64" s="272">
        <v>850</v>
      </c>
      <c r="D64" s="273" t="s">
        <v>493</v>
      </c>
      <c r="E64" s="328">
        <v>43</v>
      </c>
      <c r="F64" s="266"/>
      <c r="G64" s="267"/>
    </row>
    <row r="65" spans="1:7" ht="30.75" thickTop="1" x14ac:dyDescent="0.25">
      <c r="A65" s="219" t="s">
        <v>345</v>
      </c>
      <c r="B65" s="220">
        <v>0.22</v>
      </c>
      <c r="C65" s="220">
        <v>50</v>
      </c>
      <c r="D65" s="221" t="s">
        <v>494</v>
      </c>
      <c r="E65" s="327">
        <v>3.6</v>
      </c>
      <c r="F65" s="266"/>
      <c r="G65" s="267"/>
    </row>
    <row r="66" spans="1:7" ht="30" x14ac:dyDescent="0.25">
      <c r="A66" s="219" t="s">
        <v>198</v>
      </c>
      <c r="B66" s="220">
        <v>3.5</v>
      </c>
      <c r="C66" s="220">
        <v>900</v>
      </c>
      <c r="D66" s="221" t="s">
        <v>495</v>
      </c>
      <c r="E66" s="327">
        <v>48</v>
      </c>
      <c r="F66" s="266"/>
      <c r="G66" s="267"/>
    </row>
    <row r="67" spans="1:7" ht="30" x14ac:dyDescent="0.25">
      <c r="A67" s="219" t="s">
        <v>407</v>
      </c>
      <c r="B67" s="347">
        <v>3</v>
      </c>
      <c r="C67" s="347">
        <v>750</v>
      </c>
      <c r="D67" s="348" t="s">
        <v>496</v>
      </c>
      <c r="E67" s="349">
        <v>27</v>
      </c>
      <c r="F67" s="266"/>
      <c r="G67" s="267"/>
    </row>
    <row r="68" spans="1:7" ht="30.75" thickBot="1" x14ac:dyDescent="0.3">
      <c r="A68" s="350" t="s">
        <v>490</v>
      </c>
      <c r="B68" s="272">
        <v>5.2</v>
      </c>
      <c r="C68" s="272">
        <v>1320</v>
      </c>
      <c r="D68" s="273" t="s">
        <v>497</v>
      </c>
      <c r="E68" s="328">
        <v>70</v>
      </c>
      <c r="F68" s="266"/>
      <c r="G68" s="267"/>
    </row>
    <row r="69" spans="1:7" ht="30.75" thickTop="1" x14ac:dyDescent="0.25">
      <c r="A69" s="219" t="s">
        <v>198</v>
      </c>
      <c r="B69" s="220">
        <v>3.5</v>
      </c>
      <c r="C69" s="220">
        <v>1330</v>
      </c>
      <c r="D69" s="221" t="s">
        <v>498</v>
      </c>
      <c r="E69" s="329">
        <v>55</v>
      </c>
      <c r="F69" s="266"/>
      <c r="G69" s="267"/>
    </row>
    <row r="70" spans="1:7" ht="30.75" thickBot="1" x14ac:dyDescent="0.3">
      <c r="A70" s="271" t="s">
        <v>407</v>
      </c>
      <c r="B70" s="272">
        <v>3</v>
      </c>
      <c r="C70" s="272">
        <v>1100</v>
      </c>
      <c r="D70" s="273" t="s">
        <v>499</v>
      </c>
      <c r="E70" s="328">
        <v>39</v>
      </c>
      <c r="F70" s="266"/>
      <c r="G70" s="267"/>
    </row>
    <row r="71" spans="1:7" ht="16.5" thickTop="1" thickBot="1" x14ac:dyDescent="0.3">
      <c r="A71" s="351" t="s">
        <v>420</v>
      </c>
      <c r="B71" s="352">
        <v>1</v>
      </c>
      <c r="C71" s="352">
        <v>380</v>
      </c>
      <c r="D71" s="353" t="s">
        <v>500</v>
      </c>
      <c r="E71" s="353">
        <v>11</v>
      </c>
      <c r="F71" s="266"/>
      <c r="G71" s="267"/>
    </row>
    <row r="72" spans="1:7" ht="30.75" thickTop="1" x14ac:dyDescent="0.25">
      <c r="A72" s="268" t="s">
        <v>416</v>
      </c>
      <c r="B72" s="269">
        <v>0.3</v>
      </c>
      <c r="C72" s="269">
        <v>92</v>
      </c>
      <c r="D72" s="270" t="s">
        <v>501</v>
      </c>
      <c r="E72" s="270">
        <v>4.2</v>
      </c>
      <c r="F72" s="266"/>
      <c r="G72" s="267"/>
    </row>
    <row r="73" spans="1:7" ht="30" x14ac:dyDescent="0.25">
      <c r="A73" s="219" t="s">
        <v>417</v>
      </c>
      <c r="B73" s="220">
        <v>100</v>
      </c>
      <c r="C73" s="220">
        <v>42000</v>
      </c>
      <c r="D73" s="221" t="s">
        <v>502</v>
      </c>
      <c r="E73" s="221">
        <v>500</v>
      </c>
      <c r="F73" s="266"/>
      <c r="G73" s="267"/>
    </row>
    <row r="75" spans="1:7" x14ac:dyDescent="0.25">
      <c r="D75" s="162"/>
      <c r="E75" s="163"/>
      <c r="F75" s="163"/>
      <c r="G75" s="163"/>
    </row>
    <row r="76" spans="1:7" x14ac:dyDescent="0.25">
      <c r="D76" s="26"/>
    </row>
    <row r="77" spans="1:7" x14ac:dyDescent="0.25">
      <c r="G77" s="164"/>
    </row>
    <row r="78" spans="1:7" x14ac:dyDescent="0.25">
      <c r="D78" s="6"/>
      <c r="G78" s="164"/>
    </row>
    <row r="79" spans="1:7" x14ac:dyDescent="0.25">
      <c r="D79" s="57"/>
      <c r="G79" s="164"/>
    </row>
    <row r="80" spans="1:7" x14ac:dyDescent="0.25">
      <c r="D80" s="57"/>
      <c r="G80" s="164"/>
    </row>
    <row r="81" spans="2:9" x14ac:dyDescent="0.25">
      <c r="D81" s="57"/>
      <c r="G81" s="164"/>
    </row>
    <row r="82" spans="2:9" x14ac:dyDescent="0.25">
      <c r="D82" s="57"/>
      <c r="G82" s="164"/>
    </row>
    <row r="83" spans="2:9" x14ac:dyDescent="0.25">
      <c r="D83" s="57"/>
      <c r="G83" s="164"/>
    </row>
    <row r="84" spans="2:9" x14ac:dyDescent="0.25">
      <c r="D84" s="57"/>
      <c r="G84" s="164"/>
    </row>
    <row r="85" spans="2:9" x14ac:dyDescent="0.25">
      <c r="D85" s="57"/>
      <c r="G85" s="164"/>
    </row>
    <row r="86" spans="2:9" x14ac:dyDescent="0.25">
      <c r="B86" s="127"/>
      <c r="D86" s="129"/>
    </row>
    <row r="87" spans="2:9" x14ac:dyDescent="0.25">
      <c r="D87" s="57"/>
      <c r="E87" s="57"/>
      <c r="G87" s="164"/>
    </row>
    <row r="88" spans="2:9" x14ac:dyDescent="0.25">
      <c r="D88" s="6"/>
      <c r="E88" s="6"/>
    </row>
    <row r="89" spans="2:9" x14ac:dyDescent="0.25">
      <c r="B89" s="193"/>
      <c r="D89" s="194"/>
      <c r="E89" s="182"/>
      <c r="F89" s="195"/>
      <c r="G89" s="182"/>
      <c r="H89" s="195"/>
      <c r="I89" s="195"/>
    </row>
    <row r="90" spans="2:9" x14ac:dyDescent="0.25">
      <c r="D90" s="57"/>
      <c r="H90" s="196"/>
      <c r="I90" s="164"/>
    </row>
    <row r="91" spans="2:9" x14ac:dyDescent="0.25">
      <c r="D91" s="57"/>
      <c r="H91" s="196"/>
      <c r="I91" s="164"/>
    </row>
    <row r="92" spans="2:9" x14ac:dyDescent="0.25">
      <c r="D92" s="57"/>
      <c r="H92" s="196"/>
      <c r="I92" s="164"/>
    </row>
    <row r="93" spans="2:9" x14ac:dyDescent="0.25">
      <c r="H93" s="126"/>
    </row>
    <row r="95" spans="2:9" x14ac:dyDescent="0.25">
      <c r="D95" s="182"/>
    </row>
  </sheetData>
  <mergeCells count="10">
    <mergeCell ref="L9:M9"/>
    <mergeCell ref="L10:M10"/>
    <mergeCell ref="L11:M11"/>
    <mergeCell ref="G6:I6"/>
    <mergeCell ref="G7:I7"/>
    <mergeCell ref="L5:M5"/>
    <mergeCell ref="L6:M6"/>
    <mergeCell ref="Q4:S4"/>
    <mergeCell ref="L7:M7"/>
    <mergeCell ref="L8:M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Overview</vt:lpstr>
      <vt:lpstr>Inventory</vt:lpstr>
      <vt:lpstr>DeepBP_Facility</vt:lpstr>
      <vt:lpstr>DeepBP_Material</vt:lpstr>
      <vt:lpstr>DeepBP-L_Facility</vt:lpstr>
      <vt:lpstr>DeepBP-L_Material</vt:lpstr>
      <vt:lpstr>File_Report</vt:lpstr>
      <vt:lpstr>Data</vt:lpstr>
      <vt:lpstr>RefTable</vt:lpstr>
      <vt:lpstr>data</vt:lpstr>
      <vt:lpstr>dd_primary</vt:lpstr>
      <vt:lpstr>dd_secondary</vt:lpstr>
      <vt:lpstr>DeepBP_Material!Print_Area</vt:lpstr>
      <vt:lpstr>'DeepBP-L_Material'!Print_Area</vt:lpstr>
      <vt:lpstr>File_Report!Print_Area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Bredeweg, Sally - NRCS, Portland, OR</dc:creator>
  <cp:lastModifiedBy>Cheryl Herrick</cp:lastModifiedBy>
  <cp:lastPrinted>2017-02-09T21:51:08Z</cp:lastPrinted>
  <dcterms:created xsi:type="dcterms:W3CDTF">2016-03-17T19:37:03Z</dcterms:created>
  <dcterms:modified xsi:type="dcterms:W3CDTF">2019-12-06T17:44:50Z</dcterms:modified>
</cp:coreProperties>
</file>