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zsmith4\Documents\Dairy Goats\"/>
    </mc:Choice>
  </mc:AlternateContent>
  <xr:revisionPtr revIDLastSave="0" documentId="13_ncr:1_{EE39A9AA-88E2-4A63-8F65-5B5C88FBBAA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Directions" sheetId="7" r:id="rId1"/>
    <sheet name="12-Month Production and CF" sheetId="6" r:id="rId2"/>
    <sheet name="Capital Investment Calculator" sheetId="3" r:id="rId3"/>
    <sheet name="Changes to Cash Flow Statement " sheetId="4" r:id="rId4"/>
    <sheet name="Assumptions" sheetId="2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9" i="3" l="1"/>
  <c r="D21" i="6"/>
  <c r="I29" i="3" l="1"/>
  <c r="I22" i="3"/>
  <c r="C18" i="2"/>
  <c r="C31" i="2"/>
  <c r="D5" i="3"/>
  <c r="D68" i="6" l="1"/>
  <c r="E68" i="6" s="1"/>
  <c r="F68" i="6" s="1"/>
  <c r="G68" i="6" s="1"/>
  <c r="H68" i="6" s="1"/>
  <c r="I68" i="6" s="1"/>
  <c r="J68" i="6" s="1"/>
  <c r="K68" i="6" s="1"/>
  <c r="L68" i="6" s="1"/>
  <c r="M68" i="6" s="1"/>
  <c r="N68" i="6" s="1"/>
  <c r="O68" i="6" s="1"/>
  <c r="D14" i="3"/>
  <c r="D16" i="4" s="1"/>
  <c r="D15" i="4"/>
  <c r="F18" i="3"/>
  <c r="G18" i="3" s="1"/>
  <c r="F19" i="3"/>
  <c r="G19" i="3" s="1"/>
  <c r="F20" i="3"/>
  <c r="G20" i="3" s="1"/>
  <c r="F17" i="3"/>
  <c r="G17" i="3" s="1"/>
  <c r="D7" i="6"/>
  <c r="P29" i="6"/>
  <c r="P30" i="6"/>
  <c r="P8" i="6"/>
  <c r="D17" i="4" l="1"/>
  <c r="P14" i="6"/>
  <c r="F44" i="6"/>
  <c r="E44" i="6"/>
  <c r="E79" i="6" l="1"/>
  <c r="F79" i="6"/>
  <c r="G79" i="6"/>
  <c r="H79" i="6"/>
  <c r="I79" i="6"/>
  <c r="J79" i="6"/>
  <c r="K79" i="6"/>
  <c r="L79" i="6"/>
  <c r="M79" i="6"/>
  <c r="N79" i="6"/>
  <c r="O79" i="6"/>
  <c r="D79" i="6"/>
  <c r="P44" i="6"/>
  <c r="P45" i="6"/>
  <c r="P48" i="6"/>
  <c r="P54" i="6"/>
  <c r="P66" i="6"/>
  <c r="P67" i="6"/>
  <c r="P68" i="6"/>
  <c r="P72" i="6"/>
  <c r="P73" i="6"/>
  <c r="P74" i="6"/>
  <c r="P75" i="6"/>
  <c r="P76" i="6"/>
  <c r="P77" i="6"/>
  <c r="P78" i="6"/>
  <c r="E39" i="6"/>
  <c r="E55" i="6" s="1"/>
  <c r="F39" i="6"/>
  <c r="F55" i="6" s="1"/>
  <c r="G39" i="6"/>
  <c r="G55" i="6" s="1"/>
  <c r="H39" i="6"/>
  <c r="H55" i="6" s="1"/>
  <c r="I39" i="6"/>
  <c r="I55" i="6" s="1"/>
  <c r="J39" i="6"/>
  <c r="J55" i="6" s="1"/>
  <c r="K39" i="6"/>
  <c r="K55" i="6" s="1"/>
  <c r="L39" i="6"/>
  <c r="L55" i="6" s="1"/>
  <c r="M39" i="6"/>
  <c r="M55" i="6" s="1"/>
  <c r="N39" i="6"/>
  <c r="N55" i="6" s="1"/>
  <c r="O39" i="6"/>
  <c r="O55" i="6" s="1"/>
  <c r="D39" i="6"/>
  <c r="D55" i="6" s="1"/>
  <c r="E38" i="6"/>
  <c r="F38" i="6"/>
  <c r="F58" i="6" s="1"/>
  <c r="G38" i="6"/>
  <c r="G58" i="6" s="1"/>
  <c r="H38" i="6"/>
  <c r="H58" i="6" s="1"/>
  <c r="I38" i="6"/>
  <c r="I58" i="6" s="1"/>
  <c r="J38" i="6"/>
  <c r="J58" i="6" s="1"/>
  <c r="K38" i="6"/>
  <c r="K58" i="6" s="1"/>
  <c r="L38" i="6"/>
  <c r="L58" i="6" s="1"/>
  <c r="M38" i="6"/>
  <c r="M58" i="6" s="1"/>
  <c r="N38" i="6"/>
  <c r="N58" i="6" s="1"/>
  <c r="O38" i="6"/>
  <c r="O58" i="6" s="1"/>
  <c r="D38" i="6"/>
  <c r="D58" i="6" s="1"/>
  <c r="E37" i="6"/>
  <c r="F37" i="6"/>
  <c r="G37" i="6"/>
  <c r="H37" i="6"/>
  <c r="I37" i="6"/>
  <c r="J37" i="6"/>
  <c r="K37" i="6"/>
  <c r="L37" i="6"/>
  <c r="M37" i="6"/>
  <c r="N37" i="6"/>
  <c r="O37" i="6"/>
  <c r="D37" i="6"/>
  <c r="M36" i="6"/>
  <c r="E36" i="6"/>
  <c r="F36" i="6"/>
  <c r="G36" i="6"/>
  <c r="H36" i="6"/>
  <c r="I36" i="6"/>
  <c r="J36" i="6"/>
  <c r="K36" i="6"/>
  <c r="L36" i="6"/>
  <c r="N36" i="6"/>
  <c r="O36" i="6"/>
  <c r="D36" i="6"/>
  <c r="G35" i="6"/>
  <c r="D35" i="6"/>
  <c r="E35" i="6"/>
  <c r="F35" i="6"/>
  <c r="H35" i="6"/>
  <c r="I35" i="6"/>
  <c r="J35" i="6"/>
  <c r="K35" i="6"/>
  <c r="L35" i="6"/>
  <c r="M35" i="6"/>
  <c r="N35" i="6"/>
  <c r="O35" i="6"/>
  <c r="D57" i="6" l="1"/>
  <c r="E57" i="6"/>
  <c r="N57" i="6"/>
  <c r="G57" i="6"/>
  <c r="H57" i="6"/>
  <c r="O57" i="6"/>
  <c r="F57" i="6"/>
  <c r="P55" i="6"/>
  <c r="P39" i="6"/>
  <c r="L57" i="6"/>
  <c r="K57" i="6"/>
  <c r="J57" i="6"/>
  <c r="M57" i="6"/>
  <c r="I57" i="6"/>
  <c r="P38" i="6"/>
  <c r="P37" i="6"/>
  <c r="E58" i="6"/>
  <c r="P79" i="6"/>
  <c r="P36" i="6"/>
  <c r="C28" i="2"/>
  <c r="C27" i="2"/>
  <c r="C26" i="2"/>
  <c r="C25" i="2"/>
  <c r="C24" i="2"/>
  <c r="C23" i="2"/>
  <c r="F61" i="6" l="1"/>
  <c r="I61" i="6"/>
  <c r="G61" i="6"/>
  <c r="H61" i="6"/>
  <c r="J61" i="6"/>
  <c r="K61" i="6"/>
  <c r="L61" i="6"/>
  <c r="M61" i="6"/>
  <c r="D61" i="6"/>
  <c r="E61" i="6"/>
  <c r="N61" i="6"/>
  <c r="O61" i="6"/>
  <c r="G60" i="6"/>
  <c r="I60" i="6"/>
  <c r="H60" i="6"/>
  <c r="J60" i="6"/>
  <c r="K60" i="6"/>
  <c r="L60" i="6"/>
  <c r="M60" i="6"/>
  <c r="E60" i="6"/>
  <c r="N60" i="6"/>
  <c r="O60" i="6"/>
  <c r="D60" i="6"/>
  <c r="F60" i="6"/>
  <c r="G63" i="6"/>
  <c r="I63" i="6"/>
  <c r="J63" i="6"/>
  <c r="H63" i="6"/>
  <c r="K63" i="6"/>
  <c r="L63" i="6"/>
  <c r="M63" i="6"/>
  <c r="N63" i="6"/>
  <c r="D63" i="6"/>
  <c r="E63" i="6"/>
  <c r="O63" i="6"/>
  <c r="F63" i="6"/>
  <c r="G62" i="6"/>
  <c r="I62" i="6"/>
  <c r="H62" i="6"/>
  <c r="J62" i="6"/>
  <c r="K62" i="6"/>
  <c r="L62" i="6"/>
  <c r="F62" i="6"/>
  <c r="M62" i="6"/>
  <c r="D62" i="6"/>
  <c r="E62" i="6"/>
  <c r="N62" i="6"/>
  <c r="O62" i="6"/>
  <c r="E65" i="6"/>
  <c r="F65" i="6"/>
  <c r="G65" i="6"/>
  <c r="H65" i="6"/>
  <c r="I65" i="6"/>
  <c r="J65" i="6"/>
  <c r="K65" i="6"/>
  <c r="L65" i="6"/>
  <c r="M65" i="6"/>
  <c r="N65" i="6"/>
  <c r="O65" i="6"/>
  <c r="D65" i="6"/>
  <c r="G64" i="6"/>
  <c r="H64" i="6"/>
  <c r="I64" i="6"/>
  <c r="J64" i="6"/>
  <c r="K64" i="6"/>
  <c r="L64" i="6"/>
  <c r="M64" i="6"/>
  <c r="F64" i="6"/>
  <c r="N64" i="6"/>
  <c r="O64" i="6"/>
  <c r="D64" i="6"/>
  <c r="E64" i="6"/>
  <c r="P57" i="6"/>
  <c r="P58" i="6"/>
  <c r="P35" i="6"/>
  <c r="P63" i="6" l="1"/>
  <c r="P61" i="6"/>
  <c r="P62" i="6"/>
  <c r="P64" i="6"/>
  <c r="P65" i="6"/>
  <c r="P60" i="6"/>
  <c r="C22" i="2"/>
  <c r="G59" i="6" l="1"/>
  <c r="J59" i="6"/>
  <c r="H59" i="6"/>
  <c r="I59" i="6"/>
  <c r="K59" i="6"/>
  <c r="L59" i="6"/>
  <c r="M59" i="6"/>
  <c r="D59" i="6"/>
  <c r="N59" i="6"/>
  <c r="O59" i="6"/>
  <c r="E59" i="6"/>
  <c r="F59" i="6"/>
  <c r="C19" i="2"/>
  <c r="P59" i="6" l="1"/>
  <c r="M56" i="6"/>
  <c r="M69" i="6" s="1"/>
  <c r="M81" i="6" s="1"/>
  <c r="L56" i="6"/>
  <c r="L69" i="6" s="1"/>
  <c r="L81" i="6" s="1"/>
  <c r="D56" i="6"/>
  <c r="G56" i="6"/>
  <c r="G69" i="6" s="1"/>
  <c r="G81" i="6" s="1"/>
  <c r="N56" i="6"/>
  <c r="N69" i="6" s="1"/>
  <c r="N81" i="6" s="1"/>
  <c r="H56" i="6"/>
  <c r="H69" i="6" s="1"/>
  <c r="H81" i="6" s="1"/>
  <c r="K56" i="6"/>
  <c r="K69" i="6" s="1"/>
  <c r="K81" i="6" s="1"/>
  <c r="J56" i="6"/>
  <c r="J69" i="6" s="1"/>
  <c r="J81" i="6" s="1"/>
  <c r="I56" i="6"/>
  <c r="I69" i="6" s="1"/>
  <c r="I81" i="6" s="1"/>
  <c r="F56" i="6"/>
  <c r="F69" i="6" s="1"/>
  <c r="F81" i="6" s="1"/>
  <c r="O56" i="6"/>
  <c r="O69" i="6" s="1"/>
  <c r="O81" i="6" s="1"/>
  <c r="E56" i="6"/>
  <c r="E69" i="6" s="1"/>
  <c r="E81" i="6" s="1"/>
  <c r="F26" i="6"/>
  <c r="E26" i="6"/>
  <c r="D69" i="6" l="1"/>
  <c r="P56" i="6"/>
  <c r="P26" i="6"/>
  <c r="F26" i="3"/>
  <c r="G26" i="3" s="1"/>
  <c r="F25" i="3"/>
  <c r="G25" i="3" s="1"/>
  <c r="F27" i="3"/>
  <c r="G27" i="3" s="1"/>
  <c r="E32" i="6"/>
  <c r="F32" i="6"/>
  <c r="F28" i="6" s="1"/>
  <c r="F46" i="6" s="1"/>
  <c r="E21" i="6"/>
  <c r="F21" i="6"/>
  <c r="G21" i="6"/>
  <c r="H21" i="6"/>
  <c r="I21" i="6"/>
  <c r="J21" i="6"/>
  <c r="K21" i="6"/>
  <c r="L21" i="6"/>
  <c r="M21" i="6"/>
  <c r="N21" i="6"/>
  <c r="O21" i="6"/>
  <c r="D13" i="6"/>
  <c r="E13" i="6"/>
  <c r="F13" i="6"/>
  <c r="G13" i="6"/>
  <c r="H13" i="6"/>
  <c r="I13" i="6"/>
  <c r="J13" i="6"/>
  <c r="K13" i="6"/>
  <c r="L13" i="6"/>
  <c r="M13" i="6"/>
  <c r="N13" i="6"/>
  <c r="O13" i="6"/>
  <c r="O7" i="6"/>
  <c r="O9" i="6" s="1"/>
  <c r="O11" i="6" s="1"/>
  <c r="O12" i="6" s="1"/>
  <c r="N7" i="6"/>
  <c r="N9" i="6" s="1"/>
  <c r="M7" i="6"/>
  <c r="M9" i="6" s="1"/>
  <c r="M11" i="6" s="1"/>
  <c r="M12" i="6" s="1"/>
  <c r="H7" i="6"/>
  <c r="H9" i="6" s="1"/>
  <c r="I7" i="6"/>
  <c r="I9" i="6" s="1"/>
  <c r="I11" i="6" s="1"/>
  <c r="I12" i="6" s="1"/>
  <c r="J7" i="6"/>
  <c r="J9" i="6" s="1"/>
  <c r="J11" i="6" s="1"/>
  <c r="J12" i="6" s="1"/>
  <c r="K7" i="6"/>
  <c r="K9" i="6" s="1"/>
  <c r="K11" i="6" s="1"/>
  <c r="K12" i="6" s="1"/>
  <c r="L7" i="6"/>
  <c r="L9" i="6" s="1"/>
  <c r="L11" i="6" s="1"/>
  <c r="L12" i="6" s="1"/>
  <c r="G7" i="6"/>
  <c r="G9" i="6" s="1"/>
  <c r="G11" i="6" s="1"/>
  <c r="G12" i="6" s="1"/>
  <c r="F7" i="6"/>
  <c r="F9" i="6" s="1"/>
  <c r="F11" i="6" s="1"/>
  <c r="F12" i="6" s="1"/>
  <c r="E7" i="6"/>
  <c r="D9" i="6"/>
  <c r="K23" i="6" l="1"/>
  <c r="K43" i="6" s="1"/>
  <c r="K49" i="6" s="1"/>
  <c r="K83" i="6" s="1"/>
  <c r="D81" i="6"/>
  <c r="P81" i="6" s="1"/>
  <c r="D9" i="4" s="1"/>
  <c r="P69" i="6"/>
  <c r="L23" i="6"/>
  <c r="L43" i="6" s="1"/>
  <c r="L49" i="6" s="1"/>
  <c r="L83" i="6" s="1"/>
  <c r="P13" i="6"/>
  <c r="E28" i="6"/>
  <c r="E46" i="6" s="1"/>
  <c r="P32" i="6"/>
  <c r="E9" i="6"/>
  <c r="E11" i="6" s="1"/>
  <c r="E12" i="6" s="1"/>
  <c r="E23" i="6" s="1"/>
  <c r="E43" i="6" s="1"/>
  <c r="P7" i="6"/>
  <c r="D11" i="6"/>
  <c r="D12" i="6" s="1"/>
  <c r="F27" i="6"/>
  <c r="F47" i="6" s="1"/>
  <c r="G23" i="6"/>
  <c r="G43" i="6" s="1"/>
  <c r="G49" i="6" s="1"/>
  <c r="G83" i="6" s="1"/>
  <c r="E27" i="6"/>
  <c r="E47" i="6" s="1"/>
  <c r="O23" i="6"/>
  <c r="O43" i="6" s="1"/>
  <c r="O49" i="6" s="1"/>
  <c r="O83" i="6" s="1"/>
  <c r="F23" i="6"/>
  <c r="F43" i="6" s="1"/>
  <c r="J23" i="6"/>
  <c r="J43" i="6" s="1"/>
  <c r="J49" i="6" s="1"/>
  <c r="J83" i="6" s="1"/>
  <c r="K15" i="6"/>
  <c r="K16" i="6" s="1"/>
  <c r="K17" i="6" s="1"/>
  <c r="I23" i="6"/>
  <c r="I43" i="6" s="1"/>
  <c r="I49" i="6" s="1"/>
  <c r="I83" i="6" s="1"/>
  <c r="M23" i="6"/>
  <c r="M43" i="6" s="1"/>
  <c r="M49" i="6" s="1"/>
  <c r="M83" i="6" s="1"/>
  <c r="N11" i="6"/>
  <c r="N12" i="6" s="1"/>
  <c r="N23" i="6" s="1"/>
  <c r="N43" i="6" s="1"/>
  <c r="N49" i="6" s="1"/>
  <c r="N83" i="6" s="1"/>
  <c r="N15" i="6"/>
  <c r="N16" i="6" s="1"/>
  <c r="N17" i="6" s="1"/>
  <c r="M15" i="6"/>
  <c r="M16" i="6" s="1"/>
  <c r="M17" i="6" s="1"/>
  <c r="L15" i="6"/>
  <c r="L16" i="6" s="1"/>
  <c r="L17" i="6" s="1"/>
  <c r="H11" i="6"/>
  <c r="H15" i="6"/>
  <c r="H16" i="6" s="1"/>
  <c r="H17" i="6" s="1"/>
  <c r="O15" i="6"/>
  <c r="O16" i="6" s="1"/>
  <c r="O17" i="6" s="1"/>
  <c r="J15" i="6"/>
  <c r="J16" i="6" s="1"/>
  <c r="J17" i="6" s="1"/>
  <c r="I15" i="6"/>
  <c r="I16" i="6" s="1"/>
  <c r="I17" i="6" s="1"/>
  <c r="G15" i="6"/>
  <c r="G16" i="6" s="1"/>
  <c r="G17" i="6" s="1"/>
  <c r="F15" i="6"/>
  <c r="F16" i="6" s="1"/>
  <c r="F17" i="6" s="1"/>
  <c r="D15" i="6"/>
  <c r="P9" i="6" l="1"/>
  <c r="E15" i="6"/>
  <c r="E16" i="6" s="1"/>
  <c r="E17" i="6" s="1"/>
  <c r="H12" i="6"/>
  <c r="H23" i="6" s="1"/>
  <c r="H43" i="6" s="1"/>
  <c r="H49" i="6" s="1"/>
  <c r="H83" i="6" s="1"/>
  <c r="P47" i="6"/>
  <c r="P27" i="6"/>
  <c r="P46" i="6"/>
  <c r="P28" i="6"/>
  <c r="F49" i="6"/>
  <c r="F83" i="6" s="1"/>
  <c r="D16" i="6"/>
  <c r="D23" i="6"/>
  <c r="P11" i="6"/>
  <c r="P12" i="6" l="1"/>
  <c r="P15" i="6"/>
  <c r="E49" i="6"/>
  <c r="E83" i="6" s="1"/>
  <c r="P23" i="6"/>
  <c r="D17" i="6"/>
  <c r="P17" i="6" s="1"/>
  <c r="P16" i="6"/>
  <c r="D43" i="6"/>
  <c r="P43" i="6" s="1"/>
  <c r="E30" i="4"/>
  <c r="E27" i="4"/>
  <c r="E22" i="4"/>
  <c r="D49" i="6" l="1"/>
  <c r="D83" i="6" s="1"/>
  <c r="P83" i="6" s="1"/>
  <c r="E18" i="4"/>
  <c r="D32" i="4"/>
  <c r="P49" i="6" l="1"/>
  <c r="C8" i="4" s="1"/>
  <c r="C32" i="4" s="1"/>
  <c r="E32" i="4" s="1"/>
  <c r="E11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Tups Crossing</author>
  </authors>
  <commentList>
    <comment ref="B4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Tups Crossing:
does not include VACC withdrawals or Govt grants which both appear elsewhere below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Edwards, William M </author>
  </authors>
  <commentList>
    <comment ref="D22" authorId="0" shapeId="0" xr:uid="{00000000-0006-0000-0300-000001000000}">
      <text>
        <r>
          <rPr>
            <sz val="8"/>
            <color indexed="81"/>
            <rFont val="Tahoma"/>
            <family val="2"/>
          </rPr>
          <t>Include both operating loans 
and term loans and installment 
contracts, principal only.</t>
        </r>
      </text>
    </comment>
  </commentList>
</comments>
</file>

<file path=xl/sharedStrings.xml><?xml version="1.0" encoding="utf-8"?>
<sst xmlns="http://schemas.openxmlformats.org/spreadsheetml/2006/main" count="280" uniqueCount="188">
  <si>
    <t xml:space="preserve"> </t>
  </si>
  <si>
    <t xml:space="preserve">Year </t>
  </si>
  <si>
    <t>Cash In</t>
  </si>
  <si>
    <t>Cash Out</t>
  </si>
  <si>
    <t>Net Cash Flow</t>
  </si>
  <si>
    <t>Cash farm income and expenses (operating)</t>
  </si>
  <si>
    <t>Cash received from operations</t>
  </si>
  <si>
    <t>xxx</t>
  </si>
  <si>
    <t>Cash paid for operating expenses</t>
  </si>
  <si>
    <t>Cash paid for interest</t>
  </si>
  <si>
    <t>Capital assets (investing)</t>
  </si>
  <si>
    <t xml:space="preserve">Sales of capital assets </t>
  </si>
  <si>
    <t>Cost of breeding livestock purchases</t>
  </si>
  <si>
    <t>Cost of mach. &amp; equip. purchases</t>
  </si>
  <si>
    <t>Cost of building purchases</t>
  </si>
  <si>
    <t>Loans (financing)</t>
  </si>
  <si>
    <t>New borrowings</t>
  </si>
  <si>
    <t>Principal repaid</t>
  </si>
  <si>
    <t>Nonfarm</t>
  </si>
  <si>
    <t>Nonfarm income invested in the farm business</t>
  </si>
  <si>
    <t>Cash withdrawn from the farm for living, taxes, savings, etc.</t>
  </si>
  <si>
    <t>Cash on hand (balance in farm checking, savings accounts)</t>
  </si>
  <si>
    <t xml:space="preserve">Beginning of year </t>
  </si>
  <si>
    <t>Total cash in and cash out</t>
  </si>
  <si>
    <t>***Income taxes not included</t>
  </si>
  <si>
    <t>FARM NAME</t>
  </si>
  <si>
    <t>202X</t>
  </si>
  <si>
    <t>Bedding</t>
  </si>
  <si>
    <t>Tractor</t>
  </si>
  <si>
    <t>Tedder</t>
  </si>
  <si>
    <t>Mower</t>
  </si>
  <si>
    <t>Rake</t>
  </si>
  <si>
    <t>Baler</t>
  </si>
  <si>
    <t>Wagon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</si>
  <si>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</si>
  <si>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</si>
  <si>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</si>
  <si>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</si>
  <si>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</si>
  <si>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</si>
  <si>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</si>
  <si>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</si>
  <si>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</si>
  <si>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</si>
  <si>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</si>
  <si>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</si>
  <si>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Milking Does</t>
  </si>
  <si>
    <t>Days in Month</t>
  </si>
  <si>
    <t>CWT/Month</t>
  </si>
  <si>
    <t>*Mid-Level of Production According to National Stats</t>
  </si>
  <si>
    <t>Avg. LBS/Day</t>
  </si>
  <si>
    <t>Avg. LBS/Herd/Day</t>
  </si>
  <si>
    <t>LBS/Month</t>
  </si>
  <si>
    <t>LBS/Doe</t>
  </si>
  <si>
    <t>Avg. (Daily)Protein Production/ Goat</t>
  </si>
  <si>
    <t>Avg. (Daily)Protein Production/ Herd</t>
  </si>
  <si>
    <t>Total Protein Production (lbs)</t>
  </si>
  <si>
    <t>Base Price (per CWT)</t>
  </si>
  <si>
    <t>Price/cwt</t>
  </si>
  <si>
    <t>Winter Bonus</t>
  </si>
  <si>
    <t>Monthly Check</t>
  </si>
  <si>
    <t>Protein CWT</t>
  </si>
  <si>
    <t>Avg. (Daily)Protein Production ( %)</t>
  </si>
  <si>
    <t xml:space="preserve">    Bulk goat milk account</t>
  </si>
  <si>
    <t>Kid sales</t>
  </si>
  <si>
    <t xml:space="preserve">Other cash receipts </t>
  </si>
  <si>
    <t>TOTAL CASH INCOME</t>
  </si>
  <si>
    <t>Variable Expenses</t>
  </si>
  <si>
    <t>Milk hauling</t>
  </si>
  <si>
    <t>Stop charge</t>
  </si>
  <si>
    <t>Purchased grain</t>
  </si>
  <si>
    <t>Supplies</t>
  </si>
  <si>
    <t>Veterinary/medicine</t>
  </si>
  <si>
    <t>Fuel + oil</t>
  </si>
  <si>
    <t>Repairs + maintenance: equipment</t>
  </si>
  <si>
    <t>Repairs + maintenance: infrastructure</t>
  </si>
  <si>
    <t>Farm vehicle expenses</t>
  </si>
  <si>
    <t>Tax preparation or legal expense</t>
  </si>
  <si>
    <t>Advertising + marketing</t>
  </si>
  <si>
    <t>Total Variable Expenses</t>
  </si>
  <si>
    <t>Farm licenses/certifications</t>
  </si>
  <si>
    <t>Insurance: Farm share</t>
  </si>
  <si>
    <t>Farm Property Taxes</t>
  </si>
  <si>
    <t>Payroll taxes</t>
  </si>
  <si>
    <t>Utilities: Farm share</t>
  </si>
  <si>
    <t>Total Fixed Expenses</t>
  </si>
  <si>
    <t>TOTAL CASH EXPENSES</t>
  </si>
  <si>
    <t>NET FARM INCOME</t>
  </si>
  <si>
    <t>*data in cells in yellow can be changed</t>
  </si>
  <si>
    <t>Cull Bucking #</t>
  </si>
  <si>
    <t xml:space="preserve">Cull Doeling # </t>
  </si>
  <si>
    <t>Cull Doe # (25% replacement rate)</t>
  </si>
  <si>
    <t>Kids (1.7 kid/goat)</t>
  </si>
  <si>
    <t>Replacement Does added to herd</t>
  </si>
  <si>
    <t>Replacement Does (total count)</t>
  </si>
  <si>
    <t>Air per goat (cubic ft)</t>
  </si>
  <si>
    <t>Space per goat (sq ft)</t>
  </si>
  <si>
    <t>Bunkline space per goat (ft)</t>
  </si>
  <si>
    <t>Alley space per goat (ft)</t>
  </si>
  <si>
    <t>Alley space per doeling (ft)</t>
  </si>
  <si>
    <t>Space per doeling including kids (sq ft)</t>
  </si>
  <si>
    <t>Bunkline space per doeling (ft)</t>
  </si>
  <si>
    <t>Useable Life of Building (years)</t>
  </si>
  <si>
    <t>Bulk tank</t>
  </si>
  <si>
    <t>Gallons (for 100 goats)</t>
  </si>
  <si>
    <t>Gallons (for 200 goats)</t>
  </si>
  <si>
    <t>Gallons (for 500 goats)</t>
  </si>
  <si>
    <t>Other</t>
  </si>
  <si>
    <t>Machinery</t>
  </si>
  <si>
    <t>Livestock</t>
  </si>
  <si>
    <t>Purchased hay (consumed)</t>
  </si>
  <si>
    <t>Milking goat</t>
  </si>
  <si>
    <t>Replacement Does</t>
  </si>
  <si>
    <t>Milk Replacer for Kids</t>
  </si>
  <si>
    <t>per day</t>
  </si>
  <si>
    <t>Costs</t>
  </si>
  <si>
    <t>Leases: (skid steer, etc.)</t>
  </si>
  <si>
    <t>Minerals</t>
  </si>
  <si>
    <t>Cull Doe Price</t>
  </si>
  <si>
    <t>lbs</t>
  </si>
  <si>
    <t>Grain Consumption</t>
  </si>
  <si>
    <t>Hay Consumption</t>
  </si>
  <si>
    <t xml:space="preserve">Minerals </t>
  </si>
  <si>
    <t>lb</t>
  </si>
  <si>
    <t>Milk replacer</t>
  </si>
  <si>
    <t>Cull Buckling Price</t>
  </si>
  <si>
    <t>Cull Doeling Price</t>
  </si>
  <si>
    <t>Stop charge * not variable - estimated</t>
  </si>
  <si>
    <t>lb of fluid</t>
  </si>
  <si>
    <t>^So there are 200 cups in this bag - 200 cups = 200 lbs</t>
  </si>
  <si>
    <t>*$100/ month for 500 goats in 2006 California study. Adjusted for inflation and general material price increases</t>
  </si>
  <si>
    <t xml:space="preserve">*$10,000/year/400 goats - from 400 milker VT farm: raised it a bit for errors - $850/month - </t>
  </si>
  <si>
    <t>*^same farm: $4,000/year/400 goats</t>
  </si>
  <si>
    <t>*^: $6,000/ year</t>
  </si>
  <si>
    <t>Tax preparation or legal expense *not variable</t>
  </si>
  <si>
    <t>Advertising + marketing *not variable</t>
  </si>
  <si>
    <t>head/mo</t>
  </si>
  <si>
    <t>Hay (lbs)</t>
  </si>
  <si>
    <t>Grain- Milkers (lbs)</t>
  </si>
  <si>
    <t>Grain- Replacements (lbs)</t>
  </si>
  <si>
    <t>Minerals (lbs)</t>
  </si>
  <si>
    <t>Milk replacer (lbs)</t>
  </si>
  <si>
    <t>Purchased grain (consumed)</t>
  </si>
  <si>
    <t>Kid Mortalities (10%)</t>
  </si>
  <si>
    <t>Culled doe sales (@$50/head)</t>
  </si>
  <si>
    <t>( now @500/ton)</t>
  </si>
  <si>
    <t>Fixed Expenses</t>
  </si>
  <si>
    <t>Rent/Mortgage: Farm</t>
  </si>
  <si>
    <t>total feet</t>
  </si>
  <si>
    <t>total cubic feet</t>
  </si>
  <si>
    <t>total square feet</t>
  </si>
  <si>
    <t>gallons needed</t>
  </si>
  <si>
    <t>Capital Investments</t>
  </si>
  <si>
    <t>Milker Housing Requirements</t>
  </si>
  <si>
    <t>Kid &amp; Doeling Housing Requirements</t>
  </si>
  <si>
    <t>Parlor &amp; Equipment Requirements</t>
  </si>
  <si>
    <t>Total</t>
  </si>
  <si>
    <t>CHANGES TO CASH FLOW STATEMENT</t>
  </si>
  <si>
    <t>Total or Avg</t>
  </si>
  <si>
    <t>Bred doe</t>
  </si>
  <si>
    <t>per doe</t>
  </si>
  <si>
    <t>Estimate for 500 goats</t>
  </si>
  <si>
    <t>Hired Labor</t>
  </si>
  <si>
    <t>or $70/head in 2006 : $105/head in 2023</t>
  </si>
  <si>
    <r>
      <rPr>
        <b/>
        <sz val="11"/>
        <color theme="1"/>
        <rFont val="Calibri"/>
        <family val="2"/>
        <scheme val="minor"/>
      </rPr>
      <t xml:space="preserve">***The majority of this information was extrapolated from </t>
    </r>
    <r>
      <rPr>
        <b/>
        <i/>
        <sz val="11"/>
        <color theme="1"/>
        <rFont val="Calibri"/>
        <family val="2"/>
        <scheme val="minor"/>
      </rPr>
      <t>Goat Milk for Cheese Production in California's North Coast and adjusted to 2023 costs. Supplementary information was provided by several operating Vermont goat dairies.</t>
    </r>
  </si>
  <si>
    <t>$3000/ month for 500 goats in 2006 California study. Adjusted for inflation and general material price increases to 4,514.33</t>
  </si>
  <si>
    <t>*1 cup of replacer to 1 pint of fluid to 1 lb of replacer fluid milk - 1 cup of dry replacer weighs .25 lbs - So 3 cups of dry replacer makes 3 lbs of fluid. 50 dry lbs costs $95</t>
  </si>
  <si>
    <t>ASSUMPTIONS</t>
  </si>
  <si>
    <t xml:space="preserve">    Bucklings (@$10/head)</t>
  </si>
  <si>
    <t xml:space="preserve">    Doelings (@$25/head)</t>
  </si>
  <si>
    <t>Monthly Quality Bonus</t>
  </si>
  <si>
    <t>Production</t>
  </si>
  <si>
    <t>Herd Changes</t>
  </si>
  <si>
    <t>Feed Consumption</t>
  </si>
  <si>
    <t>Revenue</t>
  </si>
  <si>
    <t>Expenses</t>
  </si>
  <si>
    <t>Buyer</t>
  </si>
  <si>
    <t>Total Sales</t>
  </si>
  <si>
    <t xml:space="preserve">*Enter your estimated costs in the yellow boxes. Figures in boxes are simple estimates. </t>
  </si>
  <si>
    <t>1.) Start with "12-Month Production and CF"</t>
  </si>
  <si>
    <t>2.) You can adjust the information in the yellow cells according to what is closest to your current herd production or your ideal numbers for a herd.</t>
  </si>
  <si>
    <t>3.) Projections will be based on the information you enter into yellow cells</t>
  </si>
  <si>
    <t>4.) If you want to add extra expenses that you know for your business, there are yellow cells in the "Expense" categories</t>
  </si>
  <si>
    <t>Recommended space</t>
  </si>
  <si>
    <t>5.) The tab "Capital Investment Calculator" allows you to enter your estimates for expenses you may incur when establishing a herd and acquiring equipment and buildings. There are suggestions for recommended space according to herd size.</t>
  </si>
  <si>
    <t>6.) The "Changes to Cash Flow Statement" tab will gather all of the projected information and show changes to a business' cash flow over a year.</t>
  </si>
  <si>
    <t>DIRECTIONS</t>
  </si>
  <si>
    <t>Milking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</si>
</sst>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  <numFmt numFmtId="166" formatCode="0.00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 MT"/>
    </font>
    <font>
      <b/>
      <sz val="10"/>
      <name val="Arial"/>
      <family val="2"/>
    </font>
    <font>
      <sz val="1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20"/>
      <color theme="1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b/>
      <i/>
      <sz val="11"/>
      <color theme="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sz val="2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4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37" fontId="2" fillId="2" borderId="0"/>
    <xf numFmtId="9" fontId="1" fillId="0" borderId="0" applyFont="0" applyFill="0" applyBorder="0" applyAlignment="0" applyProtection="0"/>
  </cellStyleXfs>
  <cellXfs count="153">
    <xf numFmtId="0" fontId="0" fillId="0" borderId="0" xfId="0"/>
    <xf numFmtId="37" fontId="3" fillId="2" borderId="0" xfId="2" applyFont="1" applyAlignment="1">
      <alignment horizontal="left" indent="1"/>
    </xf>
    <xf numFmtId="0" fontId="3" fillId="2" borderId="1" xfId="2" applyNumberFormat="1" applyFont="1" applyBorder="1" applyAlignment="1">
      <alignment shrinkToFit="1"/>
    </xf>
    <xf numFmtId="37" fontId="3" fillId="2" borderId="0" xfId="2" applyFont="1" applyAlignment="1">
      <alignment horizontal="right"/>
    </xf>
    <xf numFmtId="0" fontId="3" fillId="2" borderId="0" xfId="2" applyNumberFormat="1" applyFont="1" applyAlignment="1">
      <alignment horizontal="center"/>
    </xf>
    <xf numFmtId="37" fontId="4" fillId="2" borderId="2" xfId="2" applyFont="1" applyBorder="1"/>
    <xf numFmtId="37" fontId="5" fillId="2" borderId="3" xfId="2" applyFont="1" applyBorder="1" applyAlignment="1">
      <alignment horizontal="center"/>
    </xf>
    <xf numFmtId="37" fontId="3" fillId="2" borderId="4" xfId="2" applyFont="1" applyBorder="1" applyAlignment="1">
      <alignment horizontal="center"/>
    </xf>
    <xf numFmtId="37" fontId="5" fillId="2" borderId="5" xfId="2" applyFont="1" applyBorder="1" applyAlignment="1">
      <alignment horizontal="left" indent="1"/>
    </xf>
    <xf numFmtId="37" fontId="6" fillId="2" borderId="6" xfId="2" applyFont="1" applyBorder="1"/>
    <xf numFmtId="164" fontId="6" fillId="0" borderId="6" xfId="0" applyNumberFormat="1" applyFont="1" applyBorder="1" applyAlignment="1">
      <alignment horizontal="right" shrinkToFit="1"/>
    </xf>
    <xf numFmtId="37" fontId="7" fillId="2" borderId="7" xfId="2" applyFont="1" applyBorder="1"/>
    <xf numFmtId="37" fontId="6" fillId="2" borderId="5" xfId="2" applyFont="1" applyBorder="1" applyAlignment="1">
      <alignment horizontal="left" indent="2"/>
    </xf>
    <xf numFmtId="44" fontId="7" fillId="2" borderId="7" xfId="2" applyNumberFormat="1" applyFont="1" applyBorder="1" applyAlignment="1">
      <alignment shrinkToFit="1"/>
    </xf>
    <xf numFmtId="37" fontId="6" fillId="2" borderId="5" xfId="2" applyFont="1" applyBorder="1" applyAlignment="1">
      <alignment horizontal="left" indent="1"/>
    </xf>
    <xf numFmtId="5" fontId="7" fillId="2" borderId="7" xfId="2" applyNumberFormat="1" applyFont="1" applyBorder="1" applyAlignment="1">
      <alignment shrinkToFit="1"/>
    </xf>
    <xf numFmtId="0" fontId="7" fillId="0" borderId="5" xfId="0" applyFont="1" applyBorder="1" applyAlignment="1">
      <alignment horizontal="left" indent="1"/>
    </xf>
    <xf numFmtId="5" fontId="7" fillId="0" borderId="7" xfId="0" applyNumberFormat="1" applyFont="1" applyBorder="1" applyAlignment="1">
      <alignment shrinkToFit="1"/>
    </xf>
    <xf numFmtId="37" fontId="5" fillId="2" borderId="9" xfId="2" applyFont="1" applyBorder="1" applyAlignment="1">
      <alignment horizontal="left" indent="1"/>
    </xf>
    <xf numFmtId="0" fontId="7" fillId="0" borderId="0" xfId="0" applyFont="1"/>
    <xf numFmtId="0" fontId="10" fillId="0" borderId="11" xfId="0" applyFont="1" applyBorder="1" applyAlignment="1">
      <alignment vertical="top"/>
    </xf>
    <xf numFmtId="0" fontId="9" fillId="0" borderId="0" xfId="0" applyFont="1" applyAlignment="1">
      <alignment vertical="top"/>
    </xf>
    <xf numFmtId="0" fontId="10" fillId="0" borderId="11" xfId="0" applyFont="1" applyBorder="1"/>
    <xf numFmtId="0" fontId="10" fillId="0" borderId="13" xfId="0" applyFont="1" applyBorder="1"/>
    <xf numFmtId="0" fontId="10" fillId="6" borderId="11" xfId="0" applyFont="1" applyFill="1" applyBorder="1"/>
    <xf numFmtId="0" fontId="10" fillId="6" borderId="13" xfId="0" applyFont="1" applyFill="1" applyBorder="1"/>
    <xf numFmtId="0" fontId="9" fillId="0" borderId="11" xfId="0" applyFont="1" applyBorder="1" applyAlignment="1">
      <alignment vertical="top"/>
    </xf>
    <xf numFmtId="44" fontId="0" fillId="0" borderId="0" xfId="1" applyFont="1"/>
    <xf numFmtId="1" fontId="0" fillId="0" borderId="0" xfId="0" applyNumberFormat="1"/>
    <xf numFmtId="0" fontId="13" fillId="8" borderId="0" xfId="0" applyFont="1" applyFill="1"/>
    <xf numFmtId="0" fontId="14" fillId="0" borderId="0" xfId="0" applyFont="1"/>
    <xf numFmtId="0" fontId="13" fillId="0" borderId="0" xfId="0" applyFont="1"/>
    <xf numFmtId="0" fontId="13" fillId="4" borderId="0" xfId="0" applyFont="1" applyFill="1"/>
    <xf numFmtId="1" fontId="13" fillId="0" borderId="0" xfId="0" applyNumberFormat="1" applyFont="1"/>
    <xf numFmtId="0" fontId="13" fillId="9" borderId="0" xfId="0" applyFont="1" applyFill="1"/>
    <xf numFmtId="2" fontId="13" fillId="0" borderId="0" xfId="3" applyNumberFormat="1" applyFont="1" applyFill="1"/>
    <xf numFmtId="0" fontId="16" fillId="9" borderId="0" xfId="0" applyFont="1" applyFill="1"/>
    <xf numFmtId="0" fontId="16" fillId="0" borderId="0" xfId="0" applyFont="1"/>
    <xf numFmtId="2" fontId="13" fillId="0" borderId="0" xfId="0" applyNumberFormat="1" applyFont="1"/>
    <xf numFmtId="44" fontId="13" fillId="0" borderId="0" xfId="0" applyNumberFormat="1" applyFont="1"/>
    <xf numFmtId="0" fontId="15" fillId="0" borderId="0" xfId="0" applyFont="1"/>
    <xf numFmtId="0" fontId="13" fillId="5" borderId="0" xfId="0" applyFont="1" applyFill="1"/>
    <xf numFmtId="44" fontId="13" fillId="5" borderId="0" xfId="0" applyNumberFormat="1" applyFont="1" applyFill="1"/>
    <xf numFmtId="44" fontId="17" fillId="7" borderId="0" xfId="0" applyNumberFormat="1" applyFont="1" applyFill="1"/>
    <xf numFmtId="44" fontId="13" fillId="8" borderId="0" xfId="0" applyNumberFormat="1" applyFont="1" applyFill="1"/>
    <xf numFmtId="44" fontId="17" fillId="8" borderId="0" xfId="0" applyNumberFormat="1" applyFont="1" applyFill="1"/>
    <xf numFmtId="1" fontId="17" fillId="0" borderId="0" xfId="0" applyNumberFormat="1" applyFont="1"/>
    <xf numFmtId="1" fontId="13" fillId="9" borderId="0" xfId="0" applyNumberFormat="1" applyFont="1" applyFill="1"/>
    <xf numFmtId="1" fontId="17" fillId="9" borderId="0" xfId="0" applyNumberFormat="1" applyFont="1" applyFill="1"/>
    <xf numFmtId="1" fontId="13" fillId="8" borderId="0" xfId="0" applyNumberFormat="1" applyFont="1" applyFill="1"/>
    <xf numFmtId="1" fontId="13" fillId="0" borderId="0" xfId="1" applyNumberFormat="1" applyFont="1" applyFill="1"/>
    <xf numFmtId="0" fontId="17" fillId="0" borderId="0" xfId="0" applyFont="1"/>
    <xf numFmtId="0" fontId="19" fillId="0" borderId="0" xfId="0" applyFont="1" applyAlignment="1">
      <alignment vertical="top"/>
    </xf>
    <xf numFmtId="0" fontId="16" fillId="0" borderId="11" xfId="0" applyFont="1" applyBorder="1" applyAlignment="1">
      <alignment vertical="top"/>
    </xf>
    <xf numFmtId="0" fontId="16" fillId="0" borderId="0" xfId="0" applyFont="1" applyAlignment="1">
      <alignment vertical="top"/>
    </xf>
    <xf numFmtId="0" fontId="19" fillId="0" borderId="12" xfId="0" applyFont="1" applyBorder="1" applyAlignment="1">
      <alignment vertical="top"/>
    </xf>
    <xf numFmtId="0" fontId="16" fillId="0" borderId="14" xfId="0" applyFont="1" applyBorder="1" applyAlignment="1">
      <alignment vertical="top"/>
    </xf>
    <xf numFmtId="0" fontId="18" fillId="0" borderId="16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vertical="top"/>
    </xf>
    <xf numFmtId="0" fontId="16" fillId="0" borderId="11" xfId="0" applyFont="1" applyBorder="1"/>
    <xf numFmtId="0" fontId="16" fillId="0" borderId="13" xfId="0" applyFont="1" applyBorder="1"/>
    <xf numFmtId="165" fontId="17" fillId="0" borderId="0" xfId="1" applyNumberFormat="1" applyFont="1" applyFill="1"/>
    <xf numFmtId="0" fontId="16" fillId="6" borderId="0" xfId="0" applyFont="1" applyFill="1"/>
    <xf numFmtId="0" fontId="16" fillId="6" borderId="13" xfId="0" applyFont="1" applyFill="1" applyBorder="1"/>
    <xf numFmtId="0" fontId="18" fillId="0" borderId="11" xfId="0" applyFont="1" applyBorder="1" applyAlignment="1">
      <alignment vertical="top"/>
    </xf>
    <xf numFmtId="44" fontId="13" fillId="0" borderId="0" xfId="1" applyFont="1"/>
    <xf numFmtId="0" fontId="18" fillId="0" borderId="16" xfId="0" applyFont="1" applyBorder="1"/>
    <xf numFmtId="0" fontId="18" fillId="0" borderId="0" xfId="0" applyFont="1"/>
    <xf numFmtId="0" fontId="17" fillId="8" borderId="0" xfId="0" applyFont="1" applyFill="1"/>
    <xf numFmtId="1" fontId="13" fillId="9" borderId="0" xfId="1" applyNumberFormat="1" applyFont="1" applyFill="1"/>
    <xf numFmtId="0" fontId="17" fillId="9" borderId="0" xfId="0" applyFont="1" applyFill="1"/>
    <xf numFmtId="0" fontId="19" fillId="9" borderId="10" xfId="0" applyFont="1" applyFill="1" applyBorder="1" applyAlignment="1">
      <alignment vertical="top"/>
    </xf>
    <xf numFmtId="0" fontId="19" fillId="9" borderId="0" xfId="0" applyFont="1" applyFill="1" applyAlignment="1">
      <alignment vertical="top"/>
    </xf>
    <xf numFmtId="0" fontId="19" fillId="9" borderId="12" xfId="0" applyFont="1" applyFill="1" applyBorder="1" applyAlignment="1">
      <alignment vertical="top"/>
    </xf>
    <xf numFmtId="0" fontId="16" fillId="9" borderId="11" xfId="0" applyFont="1" applyFill="1" applyBorder="1" applyAlignment="1">
      <alignment vertical="top"/>
    </xf>
    <xf numFmtId="0" fontId="16" fillId="9" borderId="0" xfId="0" applyFont="1" applyFill="1" applyAlignment="1">
      <alignment vertical="top"/>
    </xf>
    <xf numFmtId="0" fontId="16" fillId="9" borderId="15" xfId="0" applyFont="1" applyFill="1" applyBorder="1" applyAlignment="1">
      <alignment vertical="top"/>
    </xf>
    <xf numFmtId="0" fontId="18" fillId="9" borderId="0" xfId="0" applyFont="1" applyFill="1" applyAlignment="1">
      <alignment vertical="top"/>
    </xf>
    <xf numFmtId="0" fontId="16" fillId="9" borderId="13" xfId="0" applyFont="1" applyFill="1" applyBorder="1"/>
    <xf numFmtId="165" fontId="17" fillId="9" borderId="0" xfId="1" applyNumberFormat="1" applyFont="1" applyFill="1"/>
    <xf numFmtId="0" fontId="16" fillId="10" borderId="11" xfId="0" applyFont="1" applyFill="1" applyBorder="1"/>
    <xf numFmtId="0" fontId="16" fillId="10" borderId="0" xfId="0" applyFont="1" applyFill="1"/>
    <xf numFmtId="165" fontId="13" fillId="9" borderId="0" xfId="1" applyNumberFormat="1" applyFont="1" applyFill="1"/>
    <xf numFmtId="44" fontId="13" fillId="9" borderId="0" xfId="0" applyNumberFormat="1" applyFont="1" applyFill="1"/>
    <xf numFmtId="0" fontId="16" fillId="10" borderId="13" xfId="0" applyFont="1" applyFill="1" applyBorder="1"/>
    <xf numFmtId="44" fontId="16" fillId="9" borderId="0" xfId="0" applyNumberFormat="1" applyFont="1" applyFill="1"/>
    <xf numFmtId="165" fontId="20" fillId="9" borderId="0" xfId="1" applyNumberFormat="1" applyFont="1" applyFill="1"/>
    <xf numFmtId="0" fontId="20" fillId="8" borderId="0" xfId="0" applyFont="1" applyFill="1" applyAlignment="1">
      <alignment horizontal="right" vertical="top"/>
    </xf>
    <xf numFmtId="0" fontId="16" fillId="8" borderId="0" xfId="0" applyFont="1" applyFill="1" applyAlignment="1">
      <alignment vertical="top"/>
    </xf>
    <xf numFmtId="165" fontId="17" fillId="8" borderId="0" xfId="1" applyNumberFormat="1" applyFont="1" applyFill="1"/>
    <xf numFmtId="0" fontId="16" fillId="8" borderId="0" xfId="0" applyFont="1" applyFill="1"/>
    <xf numFmtId="0" fontId="14" fillId="4" borderId="17" xfId="0" applyFont="1" applyFill="1" applyBorder="1" applyProtection="1">
      <protection locked="0"/>
    </xf>
    <xf numFmtId="0" fontId="13" fillId="4" borderId="8" xfId="0" applyFont="1" applyFill="1" applyBorder="1" applyProtection="1">
      <protection locked="0"/>
    </xf>
    <xf numFmtId="1" fontId="13" fillId="0" borderId="0" xfId="0" applyNumberFormat="1" applyFont="1" applyProtection="1">
      <protection locked="0"/>
    </xf>
    <xf numFmtId="10" fontId="13" fillId="0" borderId="0" xfId="3" applyNumberFormat="1" applyFont="1" applyFill="1" applyProtection="1">
      <protection locked="0"/>
    </xf>
    <xf numFmtId="10" fontId="13" fillId="0" borderId="0" xfId="3" applyNumberFormat="1" applyFont="1" applyFill="1" applyAlignment="1" applyProtection="1">
      <alignment horizontal="right"/>
      <protection locked="0"/>
    </xf>
    <xf numFmtId="44" fontId="13" fillId="4" borderId="8" xfId="1" applyFont="1" applyFill="1" applyBorder="1" applyProtection="1">
      <protection locked="0"/>
    </xf>
    <xf numFmtId="44" fontId="13" fillId="0" borderId="6" xfId="1" applyFont="1" applyFill="1" applyBorder="1" applyProtection="1">
      <protection locked="0"/>
    </xf>
    <xf numFmtId="165" fontId="17" fillId="9" borderId="0" xfId="1" applyNumberFormat="1" applyFont="1" applyFill="1" applyProtection="1">
      <protection locked="0"/>
    </xf>
    <xf numFmtId="165" fontId="17" fillId="0" borderId="0" xfId="1" applyNumberFormat="1" applyFont="1" applyFill="1" applyProtection="1">
      <protection locked="0"/>
    </xf>
    <xf numFmtId="0" fontId="21" fillId="0" borderId="0" xfId="0" applyFont="1"/>
    <xf numFmtId="164" fontId="6" fillId="0" borderId="19" xfId="0" applyNumberFormat="1" applyFont="1" applyBorder="1" applyAlignment="1">
      <alignment horizontal="right" shrinkToFit="1"/>
    </xf>
    <xf numFmtId="164" fontId="6" fillId="0" borderId="19" xfId="0" applyNumberFormat="1" applyFont="1" applyBorder="1" applyAlignment="1">
      <alignment shrinkToFit="1"/>
    </xf>
    <xf numFmtId="0" fontId="7" fillId="0" borderId="19" xfId="0" applyFont="1" applyBorder="1" applyAlignment="1">
      <alignment shrinkToFit="1"/>
    </xf>
    <xf numFmtId="164" fontId="6" fillId="0" borderId="18" xfId="0" applyNumberFormat="1" applyFont="1" applyBorder="1" applyAlignment="1">
      <alignment horizontal="right" shrinkToFit="1"/>
    </xf>
    <xf numFmtId="164" fontId="6" fillId="0" borderId="19" xfId="0" applyNumberFormat="1" applyFont="1" applyBorder="1" applyAlignment="1" applyProtection="1">
      <alignment shrinkToFit="1"/>
      <protection locked="0"/>
    </xf>
    <xf numFmtId="44" fontId="6" fillId="2" borderId="2" xfId="1" applyFont="1" applyFill="1" applyBorder="1"/>
    <xf numFmtId="164" fontId="6" fillId="0" borderId="5" xfId="0" applyNumberFormat="1" applyFont="1" applyBorder="1" applyAlignment="1">
      <alignment horizontal="right" shrinkToFit="1"/>
    </xf>
    <xf numFmtId="0" fontId="0" fillId="0" borderId="5" xfId="0" applyBorder="1"/>
    <xf numFmtId="164" fontId="6" fillId="0" borderId="5" xfId="0" applyNumberFormat="1" applyFont="1" applyBorder="1" applyAlignment="1">
      <alignment horizontal="center" shrinkToFit="1"/>
    </xf>
    <xf numFmtId="164" fontId="6" fillId="0" borderId="5" xfId="0" applyNumberFormat="1" applyFont="1" applyBorder="1" applyAlignment="1">
      <alignment shrinkToFit="1"/>
    </xf>
    <xf numFmtId="0" fontId="7" fillId="0" borderId="5" xfId="0" applyFont="1" applyBorder="1" applyAlignment="1">
      <alignment shrinkToFit="1"/>
    </xf>
    <xf numFmtId="164" fontId="5" fillId="0" borderId="20" xfId="0" applyNumberFormat="1" applyFont="1" applyBorder="1" applyAlignment="1">
      <alignment shrinkToFit="1"/>
    </xf>
    <xf numFmtId="164" fontId="5" fillId="0" borderId="17" xfId="0" applyNumberFormat="1" applyFont="1" applyBorder="1" applyAlignment="1">
      <alignment shrinkToFit="1"/>
    </xf>
    <xf numFmtId="164" fontId="7" fillId="3" borderId="21" xfId="2" applyNumberFormat="1" applyFont="1" applyFill="1" applyBorder="1" applyAlignment="1">
      <alignment shrinkToFit="1"/>
    </xf>
    <xf numFmtId="164" fontId="7" fillId="4" borderId="5" xfId="0" applyNumberFormat="1" applyFont="1" applyFill="1" applyBorder="1" applyAlignment="1" applyProtection="1">
      <alignment shrinkToFit="1"/>
      <protection locked="0"/>
    </xf>
    <xf numFmtId="164" fontId="6" fillId="4" borderId="19" xfId="0" applyNumberFormat="1" applyFont="1" applyFill="1" applyBorder="1" applyAlignment="1" applyProtection="1">
      <alignment shrinkToFit="1"/>
      <protection locked="0"/>
    </xf>
    <xf numFmtId="164" fontId="6" fillId="4" borderId="5" xfId="0" applyNumberFormat="1" applyFont="1" applyFill="1" applyBorder="1" applyAlignment="1" applyProtection="1">
      <alignment shrinkToFit="1"/>
      <protection locked="0"/>
    </xf>
    <xf numFmtId="0" fontId="22" fillId="0" borderId="0" xfId="0" applyFont="1"/>
    <xf numFmtId="0" fontId="12" fillId="0" borderId="0" xfId="0" applyFont="1"/>
    <xf numFmtId="44" fontId="13" fillId="9" borderId="0" xfId="0" applyNumberFormat="1" applyFont="1" applyFill="1" applyProtection="1">
      <protection locked="0"/>
    </xf>
    <xf numFmtId="166" fontId="13" fillId="4" borderId="8" xfId="0" applyNumberFormat="1" applyFont="1" applyFill="1" applyBorder="1" applyProtection="1">
      <protection locked="0"/>
    </xf>
    <xf numFmtId="0" fontId="13" fillId="11" borderId="0" xfId="0" applyFont="1" applyFill="1"/>
    <xf numFmtId="6" fontId="0" fillId="4" borderId="0" xfId="0" applyNumberFormat="1" applyFill="1"/>
    <xf numFmtId="44" fontId="0" fillId="4" borderId="0" xfId="1" applyFont="1" applyFill="1"/>
    <xf numFmtId="44" fontId="0" fillId="0" borderId="0" xfId="1" applyFont="1" applyFill="1"/>
    <xf numFmtId="0" fontId="24" fillId="0" borderId="0" xfId="0" applyFont="1"/>
    <xf numFmtId="165" fontId="0" fillId="0" borderId="0" xfId="1" applyNumberFormat="1" applyFont="1"/>
    <xf numFmtId="0" fontId="25" fillId="8" borderId="0" xfId="0" applyFont="1" applyFill="1" applyAlignment="1">
      <alignment horizontal="center"/>
    </xf>
    <xf numFmtId="1" fontId="17" fillId="8" borderId="0" xfId="0" applyNumberFormat="1" applyFont="1" applyFill="1"/>
    <xf numFmtId="0" fontId="18" fillId="8" borderId="0" xfId="0" applyFont="1" applyFill="1" applyAlignment="1">
      <alignment vertical="center"/>
    </xf>
    <xf numFmtId="44" fontId="17" fillId="0" borderId="0" xfId="1" applyFont="1" applyFill="1"/>
    <xf numFmtId="44" fontId="17" fillId="9" borderId="0" xfId="1" applyFont="1" applyFill="1"/>
    <xf numFmtId="44" fontId="13" fillId="9" borderId="0" xfId="1" applyFont="1" applyFill="1"/>
    <xf numFmtId="6" fontId="0" fillId="0" borderId="0" xfId="0" applyNumberFormat="1"/>
    <xf numFmtId="0" fontId="0" fillId="8" borderId="0" xfId="0" applyFill="1"/>
    <xf numFmtId="0" fontId="0" fillId="11" borderId="0" xfId="0" applyFill="1"/>
    <xf numFmtId="0" fontId="0" fillId="0" borderId="2" xfId="0" applyBorder="1"/>
    <xf numFmtId="0" fontId="0" fillId="0" borderId="22" xfId="0" applyBorder="1"/>
    <xf numFmtId="0" fontId="0" fillId="0" borderId="23" xfId="0" applyBorder="1"/>
    <xf numFmtId="0" fontId="0" fillId="0" borderId="7" xfId="0" applyBorder="1"/>
    <xf numFmtId="0" fontId="0" fillId="0" borderId="9" xfId="0" applyBorder="1"/>
    <xf numFmtId="0" fontId="0" fillId="0" borderId="1" xfId="0" applyBorder="1"/>
    <xf numFmtId="0" fontId="0" fillId="0" borderId="24" xfId="0" applyBorder="1"/>
    <xf numFmtId="1" fontId="0" fillId="0" borderId="1" xfId="0" applyNumberFormat="1" applyBorder="1"/>
    <xf numFmtId="44" fontId="0" fillId="4" borderId="0" xfId="1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1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44" fontId="0" fillId="12" borderId="0" xfId="1" applyFont="1" applyFill="1"/>
  </cellXfs>
  <cellStyles count="4">
    <cellStyle name="Currency" xfId="1" builtinId="4"/>
    <cellStyle name="Normal" xfId="0" builtinId="0"/>
    <cellStyle name="Normal_C3-Combined Comprehensive Financial Statements" xfId="2" xr:uid="{00000000-0005-0000-0000-000002000000}"/>
    <cellStyle name="Percent" xfId="3" builtinId="5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11</xdr:col>
      <xdr:colOff>106423</xdr:colOff>
      <xdr:row>10</xdr:row>
      <xdr:rowOff>86995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365760"/>
          <a:ext cx="6199248" cy="15468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7620</xdr:rowOff>
    </xdr:from>
    <xdr:to>
      <xdr:col>1</xdr:col>
      <xdr:colOff>2828677</xdr:colOff>
      <xdr:row>3</xdr:row>
      <xdr:rowOff>96013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90500"/>
          <a:ext cx="2848362" cy="5836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351072</xdr:colOff>
      <xdr:row>1</xdr:row>
      <xdr:rowOff>580518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65760"/>
          <a:ext cx="2848362" cy="58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182880</xdr:colOff>
      <xdr:row>1</xdr:row>
      <xdr:rowOff>68580</xdr:rowOff>
    </xdr:from>
    <xdr:to>
      <xdr:col>1</xdr:col>
      <xdr:colOff>3031242</xdr:colOff>
      <xdr:row>2</xdr:row>
      <xdr:rowOff>324613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" y="251460"/>
          <a:ext cx="2848362" cy="5836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2:L21"/>
  <sheetViews>
    <sheetView tabSelected="1" zoomScale="140" zoomScaleNormal="140" workbookViewId="0">
      <selection activeCell="N23" sqref="N23"/>
    </sheetView>
  </sheetViews>
  <sheetFormatPr defaultRowHeight="14.5"/>
  <cols>
    <col min="12" max="12" width="12.08984375" customWidth="1"/>
  </cols>
  <sheetData>
    <row r="12" spans="2:12">
      <c r="B12" s="120" t="s">
        <v>186</v>
      </c>
    </row>
    <row r="14" spans="2:12">
      <c r="B14" s="148" t="s">
        <v>179</v>
      </c>
      <c r="C14" s="148"/>
      <c r="D14" s="148"/>
      <c r="E14" s="148"/>
      <c r="F14" s="148"/>
      <c r="G14" s="148"/>
      <c r="H14" s="148"/>
      <c r="I14" s="148"/>
      <c r="J14" s="148"/>
      <c r="K14" s="148"/>
      <c r="L14" s="148"/>
    </row>
    <row r="15" spans="2:12" ht="35.4" customHeight="1">
      <c r="B15" s="149" t="s">
        <v>180</v>
      </c>
      <c r="C15" s="149"/>
      <c r="D15" s="149"/>
      <c r="E15" s="149"/>
      <c r="F15" s="149"/>
      <c r="G15" s="149"/>
      <c r="H15" s="149"/>
      <c r="I15" s="149"/>
      <c r="J15" s="149"/>
      <c r="K15" s="149"/>
      <c r="L15" s="149"/>
    </row>
    <row r="16" spans="2:12">
      <c r="B16" s="148" t="s">
        <v>181</v>
      </c>
      <c r="C16" s="148"/>
      <c r="D16" s="148"/>
      <c r="E16" s="148"/>
      <c r="F16" s="148"/>
      <c r="G16" s="148"/>
      <c r="H16" s="148"/>
      <c r="I16" s="148"/>
      <c r="J16" s="148"/>
      <c r="K16" s="148"/>
      <c r="L16" s="148"/>
    </row>
    <row r="17" spans="2:12">
      <c r="B17" s="148" t="s">
        <v>182</v>
      </c>
      <c r="C17" s="148"/>
      <c r="D17" s="148"/>
      <c r="E17" s="148"/>
      <c r="F17" s="148"/>
      <c r="G17" s="148"/>
      <c r="H17" s="148"/>
      <c r="I17" s="148"/>
      <c r="J17" s="148"/>
      <c r="K17" s="148"/>
      <c r="L17" s="148"/>
    </row>
    <row r="18" spans="2:12" ht="48.65" customHeight="1">
      <c r="B18" s="149" t="s">
        <v>184</v>
      </c>
      <c r="C18" s="149"/>
      <c r="D18" s="149"/>
      <c r="E18" s="149"/>
      <c r="F18" s="149"/>
      <c r="G18" s="149"/>
      <c r="H18" s="149"/>
      <c r="I18" s="149"/>
      <c r="J18" s="149"/>
      <c r="K18" s="149"/>
      <c r="L18" s="149"/>
    </row>
    <row r="19" spans="2:12" ht="33" customHeight="1">
      <c r="B19" s="149" t="s">
        <v>185</v>
      </c>
      <c r="C19" s="149"/>
      <c r="D19" s="149"/>
      <c r="E19" s="149"/>
      <c r="F19" s="149"/>
      <c r="G19" s="149"/>
      <c r="H19" s="149"/>
      <c r="I19" s="149"/>
      <c r="J19" s="149"/>
      <c r="K19" s="149"/>
      <c r="L19" s="149"/>
    </row>
    <row r="20" spans="2:12">
      <c r="B20" s="147"/>
      <c r="C20" s="147"/>
      <c r="D20" s="147"/>
      <c r="E20" s="147"/>
      <c r="F20" s="147"/>
      <c r="G20" s="147"/>
      <c r="H20" s="147"/>
      <c r="I20" s="147"/>
      <c r="J20" s="147"/>
      <c r="K20" s="147"/>
      <c r="L20" s="147"/>
    </row>
    <row r="21" spans="2:12">
      <c r="B21" s="147"/>
      <c r="C21" s="147"/>
      <c r="D21" s="147"/>
      <c r="E21" s="147"/>
      <c r="F21" s="147"/>
      <c r="G21" s="147"/>
      <c r="H21" s="147"/>
      <c r="I21" s="147"/>
      <c r="J21" s="147"/>
      <c r="K21" s="147"/>
      <c r="L21" s="147"/>
    </row>
  </sheetData>
  <mergeCells count="8">
    <mergeCell ref="B20:L20"/>
    <mergeCell ref="B21:L21"/>
    <mergeCell ref="B14:L14"/>
    <mergeCell ref="B15:L15"/>
    <mergeCell ref="B16:L16"/>
    <mergeCell ref="B17:L17"/>
    <mergeCell ref="B18:L18"/>
    <mergeCell ref="B19:L19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124"/>
  <sheetViews>
    <sheetView topLeftCell="A49" workbookViewId="0">
      <selection activeCell="D7" sqref="D7"/>
    </sheetView>
  </sheetViews>
  <sheetFormatPr defaultColWidth="8.90625" defaultRowHeight="14"/>
  <cols>
    <col min="1" max="1" width="2" style="29" customWidth="1"/>
    <col min="2" max="2" width="44.08984375" style="31" customWidth="1"/>
    <col min="3" max="3" width="9.453125" style="31" bestFit="1" customWidth="1"/>
    <col min="4" max="4" width="18.54296875" style="31" bestFit="1" customWidth="1"/>
    <col min="5" max="6" width="12.36328125" style="31" bestFit="1" customWidth="1"/>
    <col min="7" max="7" width="14.08984375" style="31" customWidth="1"/>
    <col min="8" max="13" width="12.36328125" style="31" bestFit="1" customWidth="1"/>
    <col min="14" max="15" width="13.08984375" style="31" bestFit="1" customWidth="1"/>
    <col min="16" max="16" width="19" style="31" customWidth="1"/>
    <col min="17" max="17" width="8.81640625" style="31" customWidth="1"/>
    <col min="18" max="41" width="8.90625" style="29"/>
    <col min="42" max="16384" width="8.90625" style="31"/>
  </cols>
  <sheetData>
    <row r="1" spans="1:17" s="29" customFormat="1" ht="14.5" thickBot="1">
      <c r="A1" s="123"/>
      <c r="B1" s="123"/>
    </row>
    <row r="2" spans="1:17" ht="25.5" thickBot="1">
      <c r="A2" s="123"/>
      <c r="B2" s="123"/>
      <c r="C2" s="92">
        <v>250</v>
      </c>
      <c r="D2" s="30" t="s">
        <v>46</v>
      </c>
      <c r="F2" s="29"/>
      <c r="G2" s="32" t="s">
        <v>88</v>
      </c>
      <c r="H2" s="32"/>
      <c r="I2" s="32"/>
      <c r="J2" s="29"/>
      <c r="K2" s="29"/>
      <c r="L2" s="29"/>
      <c r="M2" s="29"/>
      <c r="N2" s="29"/>
      <c r="O2" s="29"/>
      <c r="P2" s="29"/>
      <c r="Q2" s="29"/>
    </row>
    <row r="3" spans="1:17" s="29" customFormat="1">
      <c r="A3" s="123"/>
      <c r="B3" s="123"/>
    </row>
    <row r="4" spans="1:17">
      <c r="A4" s="123"/>
      <c r="B4" s="123"/>
      <c r="D4" s="31" t="s">
        <v>34</v>
      </c>
      <c r="E4" s="31" t="s">
        <v>35</v>
      </c>
      <c r="F4" s="31" t="s">
        <v>36</v>
      </c>
      <c r="G4" s="31" t="s">
        <v>37</v>
      </c>
      <c r="H4" s="31" t="s">
        <v>38</v>
      </c>
      <c r="I4" s="31" t="s">
        <v>39</v>
      </c>
      <c r="J4" s="31" t="s">
        <v>40</v>
      </c>
      <c r="K4" s="31" t="s">
        <v>41</v>
      </c>
      <c r="L4" s="31" t="s">
        <v>42</v>
      </c>
      <c r="M4" s="31" t="s">
        <v>43</v>
      </c>
      <c r="N4" s="31" t="s">
        <v>44</v>
      </c>
      <c r="O4" s="31" t="s">
        <v>45</v>
      </c>
      <c r="P4" s="31" t="s">
        <v>158</v>
      </c>
      <c r="Q4" s="29"/>
    </row>
    <row r="5" spans="1:17">
      <c r="A5" s="123"/>
      <c r="B5" s="123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</row>
    <row r="6" spans="1:17" ht="30">
      <c r="B6" s="129" t="s">
        <v>171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</row>
    <row r="7" spans="1:17">
      <c r="B7" s="31" t="s">
        <v>46</v>
      </c>
      <c r="D7" s="31">
        <f>C2*0.8</f>
        <v>200</v>
      </c>
      <c r="E7" s="31">
        <f>C2*0.9</f>
        <v>225</v>
      </c>
      <c r="F7" s="31">
        <f>C2</f>
        <v>250</v>
      </c>
      <c r="G7" s="31">
        <f t="shared" ref="G7:L7" si="0">$C$2</f>
        <v>250</v>
      </c>
      <c r="H7" s="31">
        <f t="shared" si="0"/>
        <v>250</v>
      </c>
      <c r="I7" s="31">
        <f t="shared" si="0"/>
        <v>250</v>
      </c>
      <c r="J7" s="31">
        <f t="shared" si="0"/>
        <v>250</v>
      </c>
      <c r="K7" s="31">
        <f t="shared" si="0"/>
        <v>250</v>
      </c>
      <c r="L7" s="31">
        <f t="shared" si="0"/>
        <v>250</v>
      </c>
      <c r="M7" s="31">
        <f>C2*0.6</f>
        <v>150</v>
      </c>
      <c r="N7" s="31">
        <f>C2*0.2</f>
        <v>50</v>
      </c>
      <c r="O7" s="31">
        <f>C2*0.5</f>
        <v>125</v>
      </c>
      <c r="P7" s="33">
        <f>AVERAGE(D7:O7)</f>
        <v>208.33333333333334</v>
      </c>
      <c r="Q7" s="29"/>
    </row>
    <row r="8" spans="1:17">
      <c r="B8" s="31" t="s">
        <v>50</v>
      </c>
      <c r="D8" s="93">
        <v>5</v>
      </c>
      <c r="E8" s="93">
        <v>6</v>
      </c>
      <c r="F8" s="93">
        <v>6.2</v>
      </c>
      <c r="G8" s="93">
        <v>6.3</v>
      </c>
      <c r="H8" s="93">
        <v>6.6</v>
      </c>
      <c r="I8" s="93">
        <v>6.8</v>
      </c>
      <c r="J8" s="93">
        <v>7.2</v>
      </c>
      <c r="K8" s="93">
        <v>7.3</v>
      </c>
      <c r="L8" s="93">
        <v>7.5</v>
      </c>
      <c r="M8" s="93">
        <v>6.7</v>
      </c>
      <c r="N8" s="93">
        <v>6.4</v>
      </c>
      <c r="O8" s="93">
        <v>4</v>
      </c>
      <c r="P8" s="94">
        <f t="shared" ref="P8:P12" si="1">AVERAGE(D8:O8)</f>
        <v>6.333333333333333</v>
      </c>
      <c r="Q8" s="29"/>
    </row>
    <row r="9" spans="1:17">
      <c r="B9" s="31" t="s">
        <v>51</v>
      </c>
      <c r="D9" s="31">
        <f>D7*D8</f>
        <v>1000</v>
      </c>
      <c r="E9" s="31">
        <f t="shared" ref="E9:O9" si="2">E7*E8</f>
        <v>1350</v>
      </c>
      <c r="F9" s="31">
        <f t="shared" si="2"/>
        <v>1550</v>
      </c>
      <c r="G9" s="31">
        <f t="shared" si="2"/>
        <v>1575</v>
      </c>
      <c r="H9" s="31">
        <f t="shared" si="2"/>
        <v>1650</v>
      </c>
      <c r="I9" s="31">
        <f t="shared" si="2"/>
        <v>1700</v>
      </c>
      <c r="J9" s="31">
        <f t="shared" si="2"/>
        <v>1800</v>
      </c>
      <c r="K9" s="31">
        <f t="shared" si="2"/>
        <v>1825</v>
      </c>
      <c r="L9" s="31">
        <f t="shared" si="2"/>
        <v>1875</v>
      </c>
      <c r="M9" s="31">
        <f t="shared" si="2"/>
        <v>1005</v>
      </c>
      <c r="N9" s="31">
        <f t="shared" si="2"/>
        <v>320</v>
      </c>
      <c r="O9" s="31">
        <f t="shared" si="2"/>
        <v>500</v>
      </c>
      <c r="P9" s="33">
        <f t="shared" si="1"/>
        <v>1345.8333333333333</v>
      </c>
      <c r="Q9" s="29"/>
    </row>
    <row r="10" spans="1:17">
      <c r="B10" s="34" t="s">
        <v>47</v>
      </c>
      <c r="C10" s="34"/>
      <c r="D10" s="34">
        <v>31</v>
      </c>
      <c r="E10" s="34">
        <v>28</v>
      </c>
      <c r="F10" s="34">
        <v>31</v>
      </c>
      <c r="G10" s="34">
        <v>30</v>
      </c>
      <c r="H10" s="34">
        <v>31</v>
      </c>
      <c r="I10" s="34">
        <v>30</v>
      </c>
      <c r="J10" s="34">
        <v>31</v>
      </c>
      <c r="K10" s="34">
        <v>31</v>
      </c>
      <c r="L10" s="34">
        <v>30</v>
      </c>
      <c r="M10" s="34">
        <v>31</v>
      </c>
      <c r="N10" s="34">
        <v>30</v>
      </c>
      <c r="O10" s="34">
        <v>31</v>
      </c>
      <c r="P10" s="33" t="s">
        <v>0</v>
      </c>
      <c r="Q10" s="29"/>
    </row>
    <row r="11" spans="1:17">
      <c r="B11" s="31" t="s">
        <v>52</v>
      </c>
      <c r="D11" s="31">
        <f>D9*D10</f>
        <v>31000</v>
      </c>
      <c r="E11" s="31">
        <f t="shared" ref="E11:O11" si="3">E9*E10</f>
        <v>37800</v>
      </c>
      <c r="F11" s="31">
        <f t="shared" si="3"/>
        <v>48050</v>
      </c>
      <c r="G11" s="31">
        <f t="shared" si="3"/>
        <v>47250</v>
      </c>
      <c r="H11" s="31">
        <f t="shared" si="3"/>
        <v>51150</v>
      </c>
      <c r="I11" s="31">
        <f t="shared" si="3"/>
        <v>51000</v>
      </c>
      <c r="J11" s="31">
        <f t="shared" si="3"/>
        <v>55800</v>
      </c>
      <c r="K11" s="31">
        <f t="shared" si="3"/>
        <v>56575</v>
      </c>
      <c r="L11" s="31">
        <f t="shared" si="3"/>
        <v>56250</v>
      </c>
      <c r="M11" s="31">
        <f t="shared" si="3"/>
        <v>31155</v>
      </c>
      <c r="N11" s="31">
        <f t="shared" si="3"/>
        <v>9600</v>
      </c>
      <c r="O11" s="31">
        <f t="shared" si="3"/>
        <v>15500</v>
      </c>
      <c r="P11" s="31">
        <f>SUM(D11:O11)</f>
        <v>491130</v>
      </c>
      <c r="Q11" s="29" t="s">
        <v>49</v>
      </c>
    </row>
    <row r="12" spans="1:17">
      <c r="B12" s="34" t="s">
        <v>48</v>
      </c>
      <c r="C12" s="34"/>
      <c r="D12" s="34">
        <f>D11/100</f>
        <v>310</v>
      </c>
      <c r="E12" s="34">
        <f t="shared" ref="E12:O12" si="4">E11/100</f>
        <v>378</v>
      </c>
      <c r="F12" s="34">
        <f t="shared" si="4"/>
        <v>480.5</v>
      </c>
      <c r="G12" s="34">
        <f t="shared" si="4"/>
        <v>472.5</v>
      </c>
      <c r="H12" s="34">
        <f t="shared" si="4"/>
        <v>511.5</v>
      </c>
      <c r="I12" s="34">
        <f t="shared" si="4"/>
        <v>510</v>
      </c>
      <c r="J12" s="34">
        <f t="shared" si="4"/>
        <v>558</v>
      </c>
      <c r="K12" s="34">
        <f t="shared" si="4"/>
        <v>565.75</v>
      </c>
      <c r="L12" s="34">
        <f t="shared" si="4"/>
        <v>562.5</v>
      </c>
      <c r="M12" s="34">
        <f t="shared" si="4"/>
        <v>311.55</v>
      </c>
      <c r="N12" s="34">
        <f t="shared" si="4"/>
        <v>96</v>
      </c>
      <c r="O12" s="34">
        <f t="shared" si="4"/>
        <v>155</v>
      </c>
      <c r="P12" s="31">
        <f t="shared" si="1"/>
        <v>409.27500000000003</v>
      </c>
      <c r="Q12" s="29"/>
    </row>
    <row r="13" spans="1:17">
      <c r="B13" s="31" t="s">
        <v>53</v>
      </c>
      <c r="D13" s="31">
        <f>D8*D10</f>
        <v>155</v>
      </c>
      <c r="E13" s="31">
        <f t="shared" ref="E13:O13" si="5">E8*E10</f>
        <v>168</v>
      </c>
      <c r="F13" s="31">
        <f t="shared" si="5"/>
        <v>192.20000000000002</v>
      </c>
      <c r="G13" s="31">
        <f t="shared" si="5"/>
        <v>189</v>
      </c>
      <c r="H13" s="31">
        <f t="shared" si="5"/>
        <v>204.6</v>
      </c>
      <c r="I13" s="31">
        <f t="shared" si="5"/>
        <v>204</v>
      </c>
      <c r="J13" s="31">
        <f t="shared" si="5"/>
        <v>223.20000000000002</v>
      </c>
      <c r="K13" s="31">
        <f t="shared" si="5"/>
        <v>226.29999999999998</v>
      </c>
      <c r="L13" s="31">
        <f t="shared" si="5"/>
        <v>225</v>
      </c>
      <c r="M13" s="31">
        <f t="shared" si="5"/>
        <v>207.70000000000002</v>
      </c>
      <c r="N13" s="31">
        <f t="shared" si="5"/>
        <v>192</v>
      </c>
      <c r="O13" s="31">
        <f t="shared" si="5"/>
        <v>124</v>
      </c>
      <c r="P13" s="37">
        <f>SUM(D13:O13)</f>
        <v>2311</v>
      </c>
      <c r="Q13" s="29"/>
    </row>
    <row r="14" spans="1:17">
      <c r="B14" s="31" t="s">
        <v>54</v>
      </c>
      <c r="D14" s="122">
        <v>0.03</v>
      </c>
      <c r="E14" s="122">
        <v>0.03</v>
      </c>
      <c r="F14" s="122">
        <v>2.7999999999999997E-2</v>
      </c>
      <c r="G14" s="122">
        <v>2.9000000000000001E-2</v>
      </c>
      <c r="H14" s="122">
        <v>2.9000000000000001E-2</v>
      </c>
      <c r="I14" s="122">
        <v>2.9000000000000001E-2</v>
      </c>
      <c r="J14" s="122">
        <v>3.2000000000000001E-2</v>
      </c>
      <c r="K14" s="122">
        <v>3.2000000000000001E-2</v>
      </c>
      <c r="L14" s="122">
        <v>3.3000000000000002E-2</v>
      </c>
      <c r="M14" s="122">
        <v>3.4000000000000002E-2</v>
      </c>
      <c r="N14" s="122">
        <v>3.1E-2</v>
      </c>
      <c r="O14" s="122">
        <v>0.03</v>
      </c>
      <c r="P14" s="95">
        <f>AVERAGE(D14:O14)</f>
        <v>3.0583333333333341E-2</v>
      </c>
      <c r="Q14" s="29"/>
    </row>
    <row r="15" spans="1:17">
      <c r="B15" s="31" t="s">
        <v>55</v>
      </c>
      <c r="D15" s="31">
        <f>D14*D9</f>
        <v>30</v>
      </c>
      <c r="E15" s="31">
        <f t="shared" ref="E15:O15" si="6">E14*E9</f>
        <v>40.5</v>
      </c>
      <c r="F15" s="31">
        <f t="shared" si="6"/>
        <v>43.4</v>
      </c>
      <c r="G15" s="31">
        <f t="shared" si="6"/>
        <v>45.675000000000004</v>
      </c>
      <c r="H15" s="31">
        <f t="shared" si="6"/>
        <v>47.85</v>
      </c>
      <c r="I15" s="31">
        <f t="shared" si="6"/>
        <v>49.300000000000004</v>
      </c>
      <c r="J15" s="31">
        <f t="shared" si="6"/>
        <v>57.6</v>
      </c>
      <c r="K15" s="31">
        <f t="shared" si="6"/>
        <v>58.4</v>
      </c>
      <c r="L15" s="31">
        <f t="shared" si="6"/>
        <v>61.875</v>
      </c>
      <c r="M15" s="31">
        <f t="shared" si="6"/>
        <v>34.17</v>
      </c>
      <c r="N15" s="31">
        <f t="shared" si="6"/>
        <v>9.92</v>
      </c>
      <c r="O15" s="31">
        <f t="shared" si="6"/>
        <v>15</v>
      </c>
      <c r="P15" s="35">
        <f>AVERAGE(D15:O15)</f>
        <v>41.14083333333334</v>
      </c>
      <c r="Q15" s="29"/>
    </row>
    <row r="16" spans="1:17">
      <c r="B16" s="36" t="s">
        <v>56</v>
      </c>
      <c r="C16" s="36"/>
      <c r="D16" s="34">
        <f>D15*D10</f>
        <v>930</v>
      </c>
      <c r="E16" s="34">
        <f t="shared" ref="E16:O16" si="7">E15*E10</f>
        <v>1134</v>
      </c>
      <c r="F16" s="34">
        <f t="shared" si="7"/>
        <v>1345.3999999999999</v>
      </c>
      <c r="G16" s="34">
        <f t="shared" si="7"/>
        <v>1370.2500000000002</v>
      </c>
      <c r="H16" s="34">
        <f t="shared" si="7"/>
        <v>1483.3500000000001</v>
      </c>
      <c r="I16" s="34">
        <f t="shared" si="7"/>
        <v>1479.0000000000002</v>
      </c>
      <c r="J16" s="34">
        <f t="shared" si="7"/>
        <v>1785.6000000000001</v>
      </c>
      <c r="K16" s="34">
        <f t="shared" si="7"/>
        <v>1810.3999999999999</v>
      </c>
      <c r="L16" s="34">
        <f t="shared" si="7"/>
        <v>1856.25</v>
      </c>
      <c r="M16" s="34">
        <f t="shared" si="7"/>
        <v>1059.27</v>
      </c>
      <c r="N16" s="34">
        <f t="shared" si="7"/>
        <v>297.60000000000002</v>
      </c>
      <c r="O16" s="34">
        <f t="shared" si="7"/>
        <v>465</v>
      </c>
      <c r="P16" s="31">
        <f>SUM(D16:O16)</f>
        <v>15016.12</v>
      </c>
      <c r="Q16" s="29"/>
    </row>
    <row r="17" spans="1:41">
      <c r="B17" s="37" t="s">
        <v>61</v>
      </c>
      <c r="C17" s="37"/>
      <c r="D17" s="31">
        <f>D16/100</f>
        <v>9.3000000000000007</v>
      </c>
      <c r="E17" s="31">
        <f t="shared" ref="E17:O17" si="8">E16/100</f>
        <v>11.34</v>
      </c>
      <c r="F17" s="31">
        <f t="shared" si="8"/>
        <v>13.453999999999999</v>
      </c>
      <c r="G17" s="31">
        <f t="shared" si="8"/>
        <v>13.702500000000002</v>
      </c>
      <c r="H17" s="31">
        <f t="shared" si="8"/>
        <v>14.833500000000001</v>
      </c>
      <c r="I17" s="31">
        <f t="shared" si="8"/>
        <v>14.790000000000003</v>
      </c>
      <c r="J17" s="31">
        <f t="shared" si="8"/>
        <v>17.856000000000002</v>
      </c>
      <c r="K17" s="31">
        <f t="shared" si="8"/>
        <v>18.103999999999999</v>
      </c>
      <c r="L17" s="31">
        <f t="shared" si="8"/>
        <v>18.5625</v>
      </c>
      <c r="M17" s="31">
        <f t="shared" si="8"/>
        <v>10.592700000000001</v>
      </c>
      <c r="N17" s="31">
        <f t="shared" si="8"/>
        <v>2.9760000000000004</v>
      </c>
      <c r="O17" s="31">
        <f t="shared" si="8"/>
        <v>4.6500000000000004</v>
      </c>
      <c r="P17" s="38">
        <f>AVERAGE(D17:O17)</f>
        <v>12.513433333333333</v>
      </c>
      <c r="Q17" s="29"/>
    </row>
    <row r="18" spans="1:41">
      <c r="B18" s="31" t="s">
        <v>62</v>
      </c>
      <c r="D18" s="93">
        <v>3</v>
      </c>
      <c r="E18" s="93">
        <v>3</v>
      </c>
      <c r="F18" s="93">
        <v>2.8</v>
      </c>
      <c r="G18" s="93">
        <v>3</v>
      </c>
      <c r="H18" s="93">
        <v>2.9000000000000004</v>
      </c>
      <c r="I18" s="93">
        <v>2.9000000000000004</v>
      </c>
      <c r="J18" s="93">
        <v>3.2</v>
      </c>
      <c r="K18" s="93">
        <v>3.2</v>
      </c>
      <c r="L18" s="93">
        <v>3.3000000000000003</v>
      </c>
      <c r="M18" s="93">
        <v>3.4000000000000004</v>
      </c>
      <c r="N18" s="93">
        <v>3.1</v>
      </c>
      <c r="O18" s="93">
        <v>3</v>
      </c>
      <c r="P18" s="96">
        <v>3.0599999999999999E-2</v>
      </c>
      <c r="Q18" s="29"/>
    </row>
    <row r="19" spans="1:41">
      <c r="B19" s="31" t="s">
        <v>57</v>
      </c>
      <c r="D19" s="97">
        <v>15.5</v>
      </c>
      <c r="E19" s="97">
        <v>15.5</v>
      </c>
      <c r="F19" s="97">
        <v>15.5</v>
      </c>
      <c r="G19" s="97">
        <v>15.5</v>
      </c>
      <c r="H19" s="97">
        <v>15.5</v>
      </c>
      <c r="I19" s="97">
        <v>15.5</v>
      </c>
      <c r="J19" s="97">
        <v>15.5</v>
      </c>
      <c r="K19" s="97">
        <v>15.5</v>
      </c>
      <c r="L19" s="97">
        <v>15.5</v>
      </c>
      <c r="M19" s="97">
        <v>15.5</v>
      </c>
      <c r="N19" s="97">
        <v>15.5</v>
      </c>
      <c r="O19" s="97">
        <v>15.5</v>
      </c>
      <c r="P19" s="98">
        <v>15.5</v>
      </c>
      <c r="Q19" s="29"/>
    </row>
    <row r="20" spans="1:41">
      <c r="B20" s="31" t="s">
        <v>170</v>
      </c>
      <c r="D20" s="97">
        <v>2</v>
      </c>
      <c r="E20" s="97">
        <v>2</v>
      </c>
      <c r="F20" s="97">
        <v>2</v>
      </c>
      <c r="G20" s="97">
        <v>2</v>
      </c>
      <c r="H20" s="97">
        <v>2</v>
      </c>
      <c r="I20" s="97">
        <v>2</v>
      </c>
      <c r="J20" s="97">
        <v>2</v>
      </c>
      <c r="K20" s="97">
        <v>2</v>
      </c>
      <c r="L20" s="97">
        <v>2</v>
      </c>
      <c r="M20" s="97">
        <v>2</v>
      </c>
      <c r="N20" s="97">
        <v>2</v>
      </c>
      <c r="O20" s="97">
        <v>2</v>
      </c>
      <c r="P20" s="97">
        <v>2</v>
      </c>
      <c r="Q20" s="29"/>
    </row>
    <row r="21" spans="1:41">
      <c r="B21" s="37" t="s">
        <v>58</v>
      </c>
      <c r="C21" s="37"/>
      <c r="D21" s="39">
        <f>D18*D19+D20</f>
        <v>48.5</v>
      </c>
      <c r="E21" s="39">
        <f t="shared" ref="E21:O21" si="9">E18*E19+E20</f>
        <v>48.5</v>
      </c>
      <c r="F21" s="39">
        <f t="shared" si="9"/>
        <v>45.4</v>
      </c>
      <c r="G21" s="39">
        <f t="shared" si="9"/>
        <v>48.5</v>
      </c>
      <c r="H21" s="39">
        <f t="shared" si="9"/>
        <v>46.95</v>
      </c>
      <c r="I21" s="39">
        <f t="shared" si="9"/>
        <v>46.95</v>
      </c>
      <c r="J21" s="39">
        <f t="shared" si="9"/>
        <v>51.6</v>
      </c>
      <c r="K21" s="39">
        <f t="shared" si="9"/>
        <v>51.6</v>
      </c>
      <c r="L21" s="39">
        <f t="shared" si="9"/>
        <v>53.150000000000006</v>
      </c>
      <c r="M21" s="39">
        <f t="shared" si="9"/>
        <v>54.7</v>
      </c>
      <c r="N21" s="39">
        <f t="shared" si="9"/>
        <v>50.050000000000004</v>
      </c>
      <c r="O21" s="39">
        <f t="shared" si="9"/>
        <v>48.5</v>
      </c>
      <c r="Q21" s="29"/>
    </row>
    <row r="22" spans="1:41">
      <c r="B22" s="40" t="s">
        <v>59</v>
      </c>
      <c r="C22" s="40"/>
      <c r="P22" s="31" t="s">
        <v>177</v>
      </c>
      <c r="Q22" s="29"/>
    </row>
    <row r="23" spans="1:41">
      <c r="B23" s="41" t="s">
        <v>60</v>
      </c>
      <c r="C23" s="41"/>
      <c r="D23" s="42">
        <f>D12*D21+D22</f>
        <v>15035</v>
      </c>
      <c r="E23" s="42">
        <f t="shared" ref="E23:O23" si="10">E12*E21+E22</f>
        <v>18333</v>
      </c>
      <c r="F23" s="42">
        <f t="shared" si="10"/>
        <v>21814.7</v>
      </c>
      <c r="G23" s="42">
        <f t="shared" si="10"/>
        <v>22916.25</v>
      </c>
      <c r="H23" s="42">
        <f t="shared" si="10"/>
        <v>24014.925000000003</v>
      </c>
      <c r="I23" s="42">
        <f t="shared" si="10"/>
        <v>23944.5</v>
      </c>
      <c r="J23" s="42">
        <f t="shared" si="10"/>
        <v>28792.799999999999</v>
      </c>
      <c r="K23" s="42">
        <f t="shared" si="10"/>
        <v>29192.7</v>
      </c>
      <c r="L23" s="42">
        <f t="shared" si="10"/>
        <v>29896.875000000004</v>
      </c>
      <c r="M23" s="42">
        <f t="shared" si="10"/>
        <v>17041.785</v>
      </c>
      <c r="N23" s="42">
        <f t="shared" si="10"/>
        <v>4804.8</v>
      </c>
      <c r="O23" s="42">
        <f t="shared" si="10"/>
        <v>7517.5</v>
      </c>
      <c r="P23" s="43">
        <f>SUM(D23:O23)</f>
        <v>243304.83499999999</v>
      </c>
      <c r="Q23" s="29"/>
    </row>
    <row r="24" spans="1:41" s="29" customFormat="1"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5"/>
    </row>
    <row r="25" spans="1:41" s="29" customFormat="1" ht="30">
      <c r="B25" s="129" t="s">
        <v>172</v>
      </c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5"/>
    </row>
    <row r="26" spans="1:41">
      <c r="B26" s="31" t="s">
        <v>92</v>
      </c>
      <c r="D26" s="33"/>
      <c r="E26" s="33">
        <f>(C2*1.7)*0.4</f>
        <v>170</v>
      </c>
      <c r="F26" s="33">
        <f>(C2*1.7)*0.6</f>
        <v>255</v>
      </c>
      <c r="G26" s="33"/>
      <c r="H26" s="33"/>
      <c r="I26" s="33"/>
      <c r="J26" s="33"/>
      <c r="K26" s="33"/>
      <c r="L26" s="33"/>
      <c r="M26" s="33"/>
      <c r="N26" s="33"/>
      <c r="O26" s="33"/>
      <c r="P26" s="46">
        <f>SUM(D26:O26)</f>
        <v>425</v>
      </c>
      <c r="Q26" s="29"/>
    </row>
    <row r="27" spans="1:41" s="34" customFormat="1">
      <c r="A27" s="29"/>
      <c r="B27" s="34" t="s">
        <v>89</v>
      </c>
      <c r="D27" s="47"/>
      <c r="E27" s="47">
        <f>(E26-(E32/2))/2</f>
        <v>80.75</v>
      </c>
      <c r="F27" s="47">
        <f>(F26-(F32/2))/2</f>
        <v>121.125</v>
      </c>
      <c r="G27" s="47"/>
      <c r="H27" s="47"/>
      <c r="I27" s="47"/>
      <c r="J27" s="47"/>
      <c r="K27" s="47"/>
      <c r="L27" s="47"/>
      <c r="M27" s="47"/>
      <c r="N27" s="47"/>
      <c r="O27" s="47"/>
      <c r="P27" s="48">
        <f t="shared" ref="P27:P32" si="11">SUM(D27:O27)</f>
        <v>201.875</v>
      </c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</row>
    <row r="28" spans="1:41">
      <c r="B28" s="31" t="s">
        <v>90</v>
      </c>
      <c r="D28" s="33"/>
      <c r="E28" s="33">
        <f>((E26-(E32/2))/2)-E30</f>
        <v>30.75</v>
      </c>
      <c r="F28" s="33">
        <f>((F26-(F32/2))/2)-F30</f>
        <v>46.125</v>
      </c>
      <c r="G28" s="33"/>
      <c r="H28" s="33"/>
      <c r="I28" s="33"/>
      <c r="J28" s="33"/>
      <c r="K28" s="33"/>
      <c r="L28" s="33"/>
      <c r="M28" s="33"/>
      <c r="N28" s="33"/>
      <c r="O28" s="33"/>
      <c r="P28" s="46">
        <f t="shared" si="11"/>
        <v>76.875</v>
      </c>
      <c r="Q28" s="29"/>
    </row>
    <row r="29" spans="1:41" s="34" customFormat="1">
      <c r="A29" s="29"/>
      <c r="B29" s="34" t="s">
        <v>91</v>
      </c>
      <c r="D29" s="47"/>
      <c r="E29" s="47">
        <v>50</v>
      </c>
      <c r="F29" s="47">
        <v>75</v>
      </c>
      <c r="G29" s="47"/>
      <c r="H29" s="47"/>
      <c r="I29" s="47"/>
      <c r="J29" s="47"/>
      <c r="K29" s="47"/>
      <c r="L29" s="47"/>
      <c r="M29" s="47"/>
      <c r="N29" s="47"/>
      <c r="O29" s="47"/>
      <c r="P29" s="48">
        <f t="shared" si="11"/>
        <v>125</v>
      </c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</row>
    <row r="30" spans="1:41">
      <c r="B30" s="31" t="s">
        <v>93</v>
      </c>
      <c r="D30" s="33"/>
      <c r="E30" s="33">
        <v>50</v>
      </c>
      <c r="F30" s="33">
        <v>75</v>
      </c>
      <c r="G30" s="33"/>
      <c r="H30" s="33"/>
      <c r="I30" s="33"/>
      <c r="J30" s="33"/>
      <c r="K30" s="33"/>
      <c r="L30" s="33"/>
      <c r="M30" s="33"/>
      <c r="N30" s="33"/>
      <c r="O30" s="33"/>
      <c r="P30" s="46">
        <f t="shared" si="11"/>
        <v>125</v>
      </c>
      <c r="Q30" s="29"/>
    </row>
    <row r="31" spans="1:41" s="34" customFormat="1">
      <c r="A31" s="29"/>
      <c r="B31" s="34" t="s">
        <v>94</v>
      </c>
      <c r="D31" s="47"/>
      <c r="E31" s="47">
        <v>50</v>
      </c>
      <c r="F31" s="47">
        <v>125</v>
      </c>
      <c r="G31" s="47">
        <v>125</v>
      </c>
      <c r="H31" s="47">
        <v>125</v>
      </c>
      <c r="I31" s="47">
        <v>125</v>
      </c>
      <c r="J31" s="47">
        <v>125</v>
      </c>
      <c r="K31" s="47">
        <v>125</v>
      </c>
      <c r="L31" s="47">
        <v>125</v>
      </c>
      <c r="M31" s="47">
        <v>125</v>
      </c>
      <c r="N31" s="47">
        <v>125</v>
      </c>
      <c r="O31" s="47">
        <v>125</v>
      </c>
      <c r="P31" s="48">
        <v>125</v>
      </c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</row>
    <row r="32" spans="1:41">
      <c r="B32" s="31" t="s">
        <v>143</v>
      </c>
      <c r="D32" s="33"/>
      <c r="E32" s="33">
        <f>E26*0.1</f>
        <v>17</v>
      </c>
      <c r="F32" s="33">
        <f>F26*0.1</f>
        <v>25.5</v>
      </c>
      <c r="G32" s="33"/>
      <c r="H32" s="33"/>
      <c r="I32" s="33"/>
      <c r="J32" s="33"/>
      <c r="K32" s="33"/>
      <c r="L32" s="33"/>
      <c r="M32" s="33"/>
      <c r="N32" s="33"/>
      <c r="O32" s="33"/>
      <c r="P32" s="46">
        <f t="shared" si="11"/>
        <v>42.5</v>
      </c>
      <c r="Q32" s="29"/>
    </row>
    <row r="33" spans="1:41" s="29" customFormat="1"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130"/>
    </row>
    <row r="34" spans="1:41" s="29" customFormat="1" ht="30">
      <c r="B34" s="129" t="s">
        <v>173</v>
      </c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5"/>
    </row>
    <row r="35" spans="1:41">
      <c r="B35" s="31" t="s">
        <v>138</v>
      </c>
      <c r="D35" s="50">
        <f>Assumptions!$C$5*'12-Month Production and CF'!$C$2*'12-Month Production and CF'!D10</f>
        <v>27125</v>
      </c>
      <c r="E35" s="50">
        <f>Assumptions!$C$5*'12-Month Production and CF'!$C$2*'12-Month Production and CF'!E10</f>
        <v>24500</v>
      </c>
      <c r="F35" s="50">
        <f>Assumptions!$C$5*'12-Month Production and CF'!$C$2*'12-Month Production and CF'!F10</f>
        <v>27125</v>
      </c>
      <c r="G35" s="50">
        <f>Assumptions!$C$5*'12-Month Production and CF'!$C$2*'12-Month Production and CF'!G10</f>
        <v>26250</v>
      </c>
      <c r="H35" s="50">
        <f>Assumptions!$C$5*'12-Month Production and CF'!$C$2*'12-Month Production and CF'!H10</f>
        <v>27125</v>
      </c>
      <c r="I35" s="50">
        <f>Assumptions!$C$5*'12-Month Production and CF'!$C$2*'12-Month Production and CF'!I10</f>
        <v>26250</v>
      </c>
      <c r="J35" s="50">
        <f>Assumptions!$C$5*'12-Month Production and CF'!$C$2*'12-Month Production and CF'!J10</f>
        <v>27125</v>
      </c>
      <c r="K35" s="50">
        <f>Assumptions!$C$5*'12-Month Production and CF'!$C$2*'12-Month Production and CF'!K10</f>
        <v>27125</v>
      </c>
      <c r="L35" s="50">
        <f>Assumptions!$C$5*'12-Month Production and CF'!$C$2*'12-Month Production and CF'!L10</f>
        <v>26250</v>
      </c>
      <c r="M35" s="50">
        <f>Assumptions!$C$5*'12-Month Production and CF'!$C$2*'12-Month Production and CF'!M10</f>
        <v>27125</v>
      </c>
      <c r="N35" s="50">
        <f>Assumptions!$C$5*'12-Month Production and CF'!$C$2*'12-Month Production and CF'!N10</f>
        <v>26250</v>
      </c>
      <c r="O35" s="50">
        <f>Assumptions!$C$5*'12-Month Production and CF'!$C$2*'12-Month Production and CF'!O10</f>
        <v>27125</v>
      </c>
      <c r="P35" s="51">
        <f>SUM(D35:O35)</f>
        <v>319375</v>
      </c>
      <c r="Q35" s="31" t="s">
        <v>119</v>
      </c>
    </row>
    <row r="36" spans="1:41" s="34" customFormat="1">
      <c r="A36" s="29"/>
      <c r="B36" s="34" t="s">
        <v>139</v>
      </c>
      <c r="D36" s="70">
        <f>Assumptions!$C$6*'12-Month Production and CF'!D31*'12-Month Production and CF'!D10</f>
        <v>0</v>
      </c>
      <c r="E36" s="70">
        <f>Assumptions!$C$6*'12-Month Production and CF'!E31*'12-Month Production and CF'!E10</f>
        <v>2100</v>
      </c>
      <c r="F36" s="70">
        <f>Assumptions!$C$6*'12-Month Production and CF'!F31*'12-Month Production and CF'!F10</f>
        <v>5812.5</v>
      </c>
      <c r="G36" s="70">
        <f>Assumptions!$C$6*'12-Month Production and CF'!G31*'12-Month Production and CF'!G10</f>
        <v>5625</v>
      </c>
      <c r="H36" s="70">
        <f>Assumptions!$C$6*'12-Month Production and CF'!H31*'12-Month Production and CF'!H10</f>
        <v>5812.5</v>
      </c>
      <c r="I36" s="70">
        <f>Assumptions!$C$6*'12-Month Production and CF'!I31*'12-Month Production and CF'!I10</f>
        <v>5625</v>
      </c>
      <c r="J36" s="70">
        <f>Assumptions!$C$6*'12-Month Production and CF'!J31*'12-Month Production and CF'!J10</f>
        <v>5812.5</v>
      </c>
      <c r="K36" s="70">
        <f>Assumptions!$C$6*'12-Month Production and CF'!K31*'12-Month Production and CF'!K10</f>
        <v>5812.5</v>
      </c>
      <c r="L36" s="70">
        <f>Assumptions!$C$6*'12-Month Production and CF'!L31*'12-Month Production and CF'!L10</f>
        <v>5625</v>
      </c>
      <c r="M36" s="70">
        <f>Assumptions!$C$6*'12-Month Production and CF'!M31*'12-Month Production and CF'!M10</f>
        <v>5812.5</v>
      </c>
      <c r="N36" s="70">
        <f>Assumptions!$C$6*'12-Month Production and CF'!N31*'12-Month Production and CF'!N10</f>
        <v>5625</v>
      </c>
      <c r="O36" s="70">
        <f>Assumptions!$C$6*'12-Month Production and CF'!O31*'12-Month Production and CF'!O10</f>
        <v>5812.5</v>
      </c>
      <c r="P36" s="71">
        <f>SUM(D36:O36)</f>
        <v>59475</v>
      </c>
      <c r="Q36" s="34" t="s">
        <v>119</v>
      </c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</row>
    <row r="37" spans="1:41">
      <c r="B37" s="31" t="s">
        <v>137</v>
      </c>
      <c r="D37" s="33">
        <f>Assumptions!$C$8*'12-Month Production and CF'!$C$2*'12-Month Production and CF'!D10</f>
        <v>19375</v>
      </c>
      <c r="E37" s="33">
        <f>Assumptions!$C$8*'12-Month Production and CF'!$C$2*'12-Month Production and CF'!E10</f>
        <v>17500</v>
      </c>
      <c r="F37" s="33">
        <f>Assumptions!$C$8*'12-Month Production and CF'!$C$2*'12-Month Production and CF'!F10</f>
        <v>19375</v>
      </c>
      <c r="G37" s="33">
        <f>Assumptions!$C$8*'12-Month Production and CF'!$C$2*'12-Month Production and CF'!G10</f>
        <v>18750</v>
      </c>
      <c r="H37" s="33">
        <f>Assumptions!$C$8*'12-Month Production and CF'!$C$2*'12-Month Production and CF'!H10</f>
        <v>19375</v>
      </c>
      <c r="I37" s="33">
        <f>Assumptions!$C$8*'12-Month Production and CF'!$C$2*'12-Month Production and CF'!I10</f>
        <v>18750</v>
      </c>
      <c r="J37" s="33">
        <f>Assumptions!$C$8*'12-Month Production and CF'!$C$2*'12-Month Production and CF'!J10</f>
        <v>19375</v>
      </c>
      <c r="K37" s="33">
        <f>Assumptions!$C$8*'12-Month Production and CF'!$C$2*'12-Month Production and CF'!K10</f>
        <v>19375</v>
      </c>
      <c r="L37" s="33">
        <f>Assumptions!$C$8*'12-Month Production and CF'!$C$2*'12-Month Production and CF'!L10</f>
        <v>18750</v>
      </c>
      <c r="M37" s="33">
        <f>Assumptions!$C$8*'12-Month Production and CF'!$C$2*'12-Month Production and CF'!M10</f>
        <v>19375</v>
      </c>
      <c r="N37" s="33">
        <f>Assumptions!$C$8*'12-Month Production and CF'!$C$2*'12-Month Production and CF'!N10</f>
        <v>18750</v>
      </c>
      <c r="O37" s="33">
        <f>Assumptions!$C$8*'12-Month Production and CF'!$C$2*'12-Month Production and CF'!O10</f>
        <v>19375</v>
      </c>
      <c r="P37" s="51">
        <f>SUM(D37:O37)</f>
        <v>228125</v>
      </c>
      <c r="Q37" s="31" t="s">
        <v>119</v>
      </c>
    </row>
    <row r="38" spans="1:41" s="34" customFormat="1">
      <c r="A38" s="29"/>
      <c r="B38" s="34" t="s">
        <v>140</v>
      </c>
      <c r="D38" s="47">
        <f>Assumptions!$C$10*'12-Month Production and CF'!$C$2*'12-Month Production and CF'!D10</f>
        <v>242.1875</v>
      </c>
      <c r="E38" s="47">
        <f>Assumptions!$C$10*'12-Month Production and CF'!$C$2*'12-Month Production and CF'!E10</f>
        <v>218.75</v>
      </c>
      <c r="F38" s="47">
        <f>Assumptions!$C$10*'12-Month Production and CF'!$C$2*'12-Month Production and CF'!F10</f>
        <v>242.1875</v>
      </c>
      <c r="G38" s="47">
        <f>Assumptions!$C$10*'12-Month Production and CF'!$C$2*'12-Month Production and CF'!G10</f>
        <v>234.375</v>
      </c>
      <c r="H38" s="47">
        <f>Assumptions!$C$10*'12-Month Production and CF'!$C$2*'12-Month Production and CF'!H10</f>
        <v>242.1875</v>
      </c>
      <c r="I38" s="47">
        <f>Assumptions!$C$10*'12-Month Production and CF'!$C$2*'12-Month Production and CF'!I10</f>
        <v>234.375</v>
      </c>
      <c r="J38" s="47">
        <f>Assumptions!$C$10*'12-Month Production and CF'!$C$2*'12-Month Production and CF'!J10</f>
        <v>242.1875</v>
      </c>
      <c r="K38" s="47">
        <f>Assumptions!$C$10*'12-Month Production and CF'!$C$2*'12-Month Production and CF'!K10</f>
        <v>242.1875</v>
      </c>
      <c r="L38" s="47">
        <f>Assumptions!$C$10*'12-Month Production and CF'!$C$2*'12-Month Production and CF'!L10</f>
        <v>234.375</v>
      </c>
      <c r="M38" s="47">
        <f>Assumptions!$C$10*'12-Month Production and CF'!$C$2*'12-Month Production and CF'!M10</f>
        <v>242.1875</v>
      </c>
      <c r="N38" s="47">
        <f>Assumptions!$C$10*'12-Month Production and CF'!$C$2*'12-Month Production and CF'!N10</f>
        <v>234.375</v>
      </c>
      <c r="O38" s="47">
        <f>Assumptions!$C$10*'12-Month Production and CF'!$C$2*'12-Month Production and CF'!O10</f>
        <v>242.1875</v>
      </c>
      <c r="P38" s="71">
        <f>SUM(D38:O38)</f>
        <v>2851.5625</v>
      </c>
      <c r="Q38" s="34" t="s">
        <v>119</v>
      </c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</row>
    <row r="39" spans="1:41">
      <c r="B39" s="31" t="s">
        <v>141</v>
      </c>
      <c r="D39" s="33">
        <f>Assumptions!$C$11*'12-Month Production and CF'!D31*'12-Month Production and CF'!D10</f>
        <v>0</v>
      </c>
      <c r="E39" s="33">
        <f>Assumptions!$C$11*'12-Month Production and CF'!E31*'12-Month Production and CF'!E10</f>
        <v>4200</v>
      </c>
      <c r="F39" s="33">
        <f>Assumptions!$C$11*'12-Month Production and CF'!F31*'12-Month Production and CF'!F10</f>
        <v>11625</v>
      </c>
      <c r="G39" s="33">
        <f>Assumptions!$C$11*'12-Month Production and CF'!G31*'12-Month Production and CF'!G10</f>
        <v>11250</v>
      </c>
      <c r="H39" s="33">
        <f>Assumptions!$C$11*'12-Month Production and CF'!H31*'12-Month Production and CF'!H10</f>
        <v>11625</v>
      </c>
      <c r="I39" s="33">
        <f>Assumptions!$C$11*'12-Month Production and CF'!I31*'12-Month Production and CF'!I10</f>
        <v>11250</v>
      </c>
      <c r="J39" s="33">
        <f>Assumptions!$C$11*'12-Month Production and CF'!J31*'12-Month Production and CF'!J10</f>
        <v>11625</v>
      </c>
      <c r="K39" s="33">
        <f>Assumptions!$C$11*'12-Month Production and CF'!K31*'12-Month Production and CF'!K10</f>
        <v>11625</v>
      </c>
      <c r="L39" s="33">
        <f>Assumptions!$C$11*'12-Month Production and CF'!L31*'12-Month Production and CF'!L10</f>
        <v>11250</v>
      </c>
      <c r="M39" s="33">
        <f>Assumptions!$C$11*'12-Month Production and CF'!M31*'12-Month Production and CF'!M10</f>
        <v>11625</v>
      </c>
      <c r="N39" s="33">
        <f>Assumptions!$C$11*'12-Month Production and CF'!N31*'12-Month Production and CF'!N10</f>
        <v>11250</v>
      </c>
      <c r="O39" s="33">
        <f>Assumptions!$C$11*'12-Month Production and CF'!O31*'12-Month Production and CF'!O10</f>
        <v>11625</v>
      </c>
      <c r="P39" s="51">
        <f>SUM(D39:O39)</f>
        <v>118950</v>
      </c>
      <c r="Q39" s="31" t="s">
        <v>119</v>
      </c>
    </row>
    <row r="40" spans="1:41" s="29" customFormat="1"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69"/>
    </row>
    <row r="41" spans="1:41" s="29" customFormat="1" ht="30">
      <c r="B41" s="129" t="s">
        <v>174</v>
      </c>
      <c r="P41" s="69" t="s">
        <v>0</v>
      </c>
    </row>
    <row r="42" spans="1:41" s="34" customFormat="1" ht="14.5">
      <c r="A42" s="29"/>
      <c r="B42" s="72" t="s">
        <v>176</v>
      </c>
      <c r="C42" s="73"/>
      <c r="P42" s="71" t="s">
        <v>0</v>
      </c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</row>
    <row r="43" spans="1:41">
      <c r="B43" s="53" t="s">
        <v>63</v>
      </c>
      <c r="C43" s="54"/>
      <c r="D43" s="39">
        <f t="shared" ref="D43:O43" si="12">D23</f>
        <v>15035</v>
      </c>
      <c r="E43" s="39">
        <f t="shared" si="12"/>
        <v>18333</v>
      </c>
      <c r="F43" s="39">
        <f t="shared" si="12"/>
        <v>21814.7</v>
      </c>
      <c r="G43" s="39">
        <f t="shared" si="12"/>
        <v>22916.25</v>
      </c>
      <c r="H43" s="39">
        <f t="shared" si="12"/>
        <v>24014.925000000003</v>
      </c>
      <c r="I43" s="39">
        <f t="shared" si="12"/>
        <v>23944.5</v>
      </c>
      <c r="J43" s="39">
        <f t="shared" si="12"/>
        <v>28792.799999999999</v>
      </c>
      <c r="K43" s="39">
        <f t="shared" si="12"/>
        <v>29192.7</v>
      </c>
      <c r="L43" s="39">
        <f t="shared" si="12"/>
        <v>29896.875000000004</v>
      </c>
      <c r="M43" s="39">
        <f t="shared" si="12"/>
        <v>17041.785</v>
      </c>
      <c r="N43" s="39">
        <f t="shared" si="12"/>
        <v>4804.8</v>
      </c>
      <c r="O43" s="39">
        <f t="shared" si="12"/>
        <v>7517.5</v>
      </c>
      <c r="P43" s="132">
        <f t="shared" ref="P43:P83" si="13">SUM(D43:O43)</f>
        <v>243304.83499999999</v>
      </c>
      <c r="Q43" s="29"/>
    </row>
    <row r="44" spans="1:41" s="34" customFormat="1" ht="14.5">
      <c r="A44" s="29"/>
      <c r="B44" s="74" t="s">
        <v>144</v>
      </c>
      <c r="C44" s="73"/>
      <c r="E44" s="134">
        <f>E29*50</f>
        <v>2500</v>
      </c>
      <c r="F44" s="134">
        <f>F29*50</f>
        <v>3750</v>
      </c>
      <c r="P44" s="133">
        <f t="shared" si="13"/>
        <v>6250</v>
      </c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</row>
    <row r="45" spans="1:41" ht="14.5">
      <c r="B45" s="55" t="s">
        <v>64</v>
      </c>
      <c r="C45" s="52"/>
      <c r="E45" s="66"/>
      <c r="F45" s="66"/>
      <c r="P45" s="132">
        <f t="shared" si="13"/>
        <v>0</v>
      </c>
      <c r="Q45" s="29"/>
    </row>
    <row r="46" spans="1:41" s="34" customFormat="1">
      <c r="A46" s="29"/>
      <c r="B46" s="75" t="s">
        <v>169</v>
      </c>
      <c r="C46" s="76"/>
      <c r="E46" s="134">
        <f>E28*25</f>
        <v>768.75</v>
      </c>
      <c r="F46" s="134">
        <f>F28*25</f>
        <v>1153.125</v>
      </c>
      <c r="P46" s="133">
        <f t="shared" si="13"/>
        <v>1921.875</v>
      </c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</row>
    <row r="47" spans="1:41">
      <c r="B47" s="56" t="s">
        <v>168</v>
      </c>
      <c r="C47" s="54"/>
      <c r="E47" s="66">
        <f>E27*10</f>
        <v>807.5</v>
      </c>
      <c r="F47" s="66">
        <f>F27*10</f>
        <v>1211.25</v>
      </c>
      <c r="P47" s="132">
        <f t="shared" si="13"/>
        <v>2018.75</v>
      </c>
      <c r="Q47" s="29"/>
    </row>
    <row r="48" spans="1:41" s="34" customFormat="1" ht="14.5" thickBot="1">
      <c r="A48" s="29"/>
      <c r="B48" s="77" t="s">
        <v>65</v>
      </c>
      <c r="C48" s="76"/>
      <c r="E48" s="134"/>
      <c r="F48" s="134"/>
      <c r="P48" s="133">
        <f t="shared" si="13"/>
        <v>0</v>
      </c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</row>
    <row r="49" spans="1:41" ht="14.5" thickBot="1">
      <c r="B49" s="57" t="s">
        <v>66</v>
      </c>
      <c r="C49" s="58"/>
      <c r="D49" s="39">
        <f>SUM(D43:D48)</f>
        <v>15035</v>
      </c>
      <c r="E49" s="39">
        <f t="shared" ref="E49:O49" si="14">SUM(E43:E48)</f>
        <v>22409.25</v>
      </c>
      <c r="F49" s="39">
        <f t="shared" si="14"/>
        <v>27929.075000000001</v>
      </c>
      <c r="G49" s="39">
        <f t="shared" si="14"/>
        <v>22916.25</v>
      </c>
      <c r="H49" s="39">
        <f t="shared" si="14"/>
        <v>24014.925000000003</v>
      </c>
      <c r="I49" s="39">
        <f t="shared" si="14"/>
        <v>23944.5</v>
      </c>
      <c r="J49" s="39">
        <f t="shared" si="14"/>
        <v>28792.799999999999</v>
      </c>
      <c r="K49" s="39">
        <f t="shared" si="14"/>
        <v>29192.7</v>
      </c>
      <c r="L49" s="39">
        <f t="shared" si="14"/>
        <v>29896.875000000004</v>
      </c>
      <c r="M49" s="39">
        <f t="shared" si="14"/>
        <v>17041.785</v>
      </c>
      <c r="N49" s="39">
        <f t="shared" si="14"/>
        <v>4804.8</v>
      </c>
      <c r="O49" s="39">
        <f t="shared" si="14"/>
        <v>7517.5</v>
      </c>
      <c r="P49" s="132">
        <f t="shared" si="13"/>
        <v>253495.46</v>
      </c>
      <c r="Q49" s="29"/>
    </row>
    <row r="50" spans="1:41" s="29" customFormat="1">
      <c r="B50" s="131"/>
      <c r="C50" s="131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69"/>
    </row>
    <row r="51" spans="1:41" s="29" customFormat="1" ht="30">
      <c r="B51" s="129" t="s">
        <v>175</v>
      </c>
      <c r="P51" s="69" t="s">
        <v>0</v>
      </c>
    </row>
    <row r="52" spans="1:41" s="34" customFormat="1">
      <c r="A52" s="29"/>
      <c r="B52" s="78" t="s">
        <v>67</v>
      </c>
      <c r="C52" s="78"/>
      <c r="P52" s="71" t="s">
        <v>0</v>
      </c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</row>
    <row r="53" spans="1:41">
      <c r="B53" s="60" t="s">
        <v>68</v>
      </c>
      <c r="C53" s="37"/>
      <c r="P53" s="51" t="s">
        <v>0</v>
      </c>
      <c r="Q53" s="29"/>
    </row>
    <row r="54" spans="1:41" s="34" customFormat="1">
      <c r="A54" s="29"/>
      <c r="B54" s="79" t="s">
        <v>69</v>
      </c>
      <c r="C54" s="36"/>
      <c r="D54" s="34">
        <v>500</v>
      </c>
      <c r="E54" s="34">
        <v>500</v>
      </c>
      <c r="F54" s="34">
        <v>500</v>
      </c>
      <c r="G54" s="34">
        <v>500</v>
      </c>
      <c r="H54" s="34">
        <v>500</v>
      </c>
      <c r="I54" s="34">
        <v>500</v>
      </c>
      <c r="J54" s="34">
        <v>500</v>
      </c>
      <c r="K54" s="34">
        <v>500</v>
      </c>
      <c r="L54" s="34">
        <v>500</v>
      </c>
      <c r="M54" s="34">
        <v>500</v>
      </c>
      <c r="N54" s="34">
        <v>500</v>
      </c>
      <c r="O54" s="34">
        <v>500</v>
      </c>
      <c r="P54" s="80">
        <f t="shared" si="13"/>
        <v>6000</v>
      </c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</row>
    <row r="55" spans="1:41">
      <c r="B55" s="61" t="s">
        <v>113</v>
      </c>
      <c r="C55" s="37"/>
      <c r="D55" s="39">
        <f>D39*Assumptions!$C$18</f>
        <v>0</v>
      </c>
      <c r="E55" s="39">
        <f>E39*Assumptions!$C$18</f>
        <v>1995</v>
      </c>
      <c r="F55" s="39">
        <f>F39*Assumptions!$C$18</f>
        <v>5521.875</v>
      </c>
      <c r="G55" s="39">
        <f>G39*Assumptions!$C$18</f>
        <v>5343.75</v>
      </c>
      <c r="H55" s="39">
        <f>H39*Assumptions!$C$18</f>
        <v>5521.875</v>
      </c>
      <c r="I55" s="39">
        <f>I39*Assumptions!$C$18</f>
        <v>5343.75</v>
      </c>
      <c r="J55" s="39">
        <f>J39*Assumptions!$C$18</f>
        <v>5521.875</v>
      </c>
      <c r="K55" s="39">
        <f>K39*Assumptions!$C$18</f>
        <v>5521.875</v>
      </c>
      <c r="L55" s="39">
        <f>L39*Assumptions!$C$18</f>
        <v>5343.75</v>
      </c>
      <c r="M55" s="39">
        <f>M39*Assumptions!$C$18</f>
        <v>5521.875</v>
      </c>
      <c r="N55" s="39">
        <f>N39*Assumptions!$C$18</f>
        <v>5343.75</v>
      </c>
      <c r="O55" s="39">
        <f>O39*Assumptions!$C$18</f>
        <v>5521.875</v>
      </c>
      <c r="P55" s="62">
        <f t="shared" si="13"/>
        <v>56501.25</v>
      </c>
      <c r="Q55" s="29"/>
    </row>
    <row r="56" spans="1:41" s="34" customFormat="1">
      <c r="A56" s="29"/>
      <c r="B56" s="81" t="s">
        <v>110</v>
      </c>
      <c r="C56" s="82"/>
      <c r="D56" s="83">
        <f>D37*Assumptions!$C$19</f>
        <v>2073.125</v>
      </c>
      <c r="E56" s="83">
        <f>E37*Assumptions!$C$19</f>
        <v>1872.5</v>
      </c>
      <c r="F56" s="83">
        <f>F37*Assumptions!$C$19</f>
        <v>2073.125</v>
      </c>
      <c r="G56" s="83">
        <f>G37*Assumptions!$C$19</f>
        <v>2006.25</v>
      </c>
      <c r="H56" s="83">
        <f>H37*Assumptions!$C$19</f>
        <v>2073.125</v>
      </c>
      <c r="I56" s="83">
        <f>I37*Assumptions!$C$19</f>
        <v>2006.25</v>
      </c>
      <c r="J56" s="83">
        <f>J37*Assumptions!$C$19</f>
        <v>2073.125</v>
      </c>
      <c r="K56" s="83">
        <f>K37*Assumptions!$C$19</f>
        <v>2073.125</v>
      </c>
      <c r="L56" s="83">
        <f>L37*Assumptions!$C$19</f>
        <v>2006.25</v>
      </c>
      <c r="M56" s="83">
        <f>M37*Assumptions!$C$19</f>
        <v>2073.125</v>
      </c>
      <c r="N56" s="83">
        <f>N37*Assumptions!$C$19</f>
        <v>2006.25</v>
      </c>
      <c r="O56" s="83">
        <f>O37*Assumptions!$C$19</f>
        <v>2073.125</v>
      </c>
      <c r="P56" s="80">
        <f t="shared" si="13"/>
        <v>24409.375</v>
      </c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</row>
    <row r="57" spans="1:41">
      <c r="B57" s="64" t="s">
        <v>142</v>
      </c>
      <c r="C57" s="63"/>
      <c r="D57" s="39">
        <f>(D35+D36)*Assumptions!$C$20</f>
        <v>6944</v>
      </c>
      <c r="E57" s="39">
        <f>(E35+E36)*Assumptions!$C$20</f>
        <v>6809.6</v>
      </c>
      <c r="F57" s="39">
        <f>(F35+F36)*Assumptions!$C$20</f>
        <v>8432</v>
      </c>
      <c r="G57" s="39">
        <f>(G35+G36)*Assumptions!$C$20</f>
        <v>8160</v>
      </c>
      <c r="H57" s="39">
        <f>(H35+H36)*Assumptions!$C$20</f>
        <v>8432</v>
      </c>
      <c r="I57" s="39">
        <f>(I35+I36)*Assumptions!$C$20</f>
        <v>8160</v>
      </c>
      <c r="J57" s="39">
        <f>(J35+J36)*Assumptions!$C$20</f>
        <v>8432</v>
      </c>
      <c r="K57" s="39">
        <f>(K35+K36)*Assumptions!$C$20</f>
        <v>8432</v>
      </c>
      <c r="L57" s="39">
        <f>(L35+L36)*Assumptions!$C$20</f>
        <v>8160</v>
      </c>
      <c r="M57" s="39">
        <f>(M35+M36)*Assumptions!$C$20</f>
        <v>8432</v>
      </c>
      <c r="N57" s="39">
        <f>(N35+N36)*Assumptions!$C$20</f>
        <v>8160</v>
      </c>
      <c r="O57" s="39">
        <f>(O35+O36)*Assumptions!$C$20</f>
        <v>8432</v>
      </c>
      <c r="P57" s="62">
        <f t="shared" si="13"/>
        <v>96985.600000000006</v>
      </c>
      <c r="Q57" s="29"/>
    </row>
    <row r="58" spans="1:41" s="36" customFormat="1">
      <c r="A58" s="91"/>
      <c r="B58" s="85" t="s">
        <v>117</v>
      </c>
      <c r="C58" s="82"/>
      <c r="D58" s="86">
        <f>D38*Assumptions!$C$21</f>
        <v>145.3125</v>
      </c>
      <c r="E58" s="86">
        <f>E38*Assumptions!$C$21</f>
        <v>131.25</v>
      </c>
      <c r="F58" s="86">
        <f>F38*Assumptions!$C$21</f>
        <v>145.3125</v>
      </c>
      <c r="G58" s="86">
        <f>G38*Assumptions!$C$21</f>
        <v>140.625</v>
      </c>
      <c r="H58" s="86">
        <f>H38*Assumptions!$C$21</f>
        <v>145.3125</v>
      </c>
      <c r="I58" s="86">
        <f>I38*Assumptions!$C$21</f>
        <v>140.625</v>
      </c>
      <c r="J58" s="86">
        <f>J38*Assumptions!$C$21</f>
        <v>145.3125</v>
      </c>
      <c r="K58" s="86">
        <f>K38*Assumptions!$C$21</f>
        <v>145.3125</v>
      </c>
      <c r="L58" s="86">
        <f>L38*Assumptions!$C$21</f>
        <v>140.625</v>
      </c>
      <c r="M58" s="86">
        <f>M38*Assumptions!$C$21</f>
        <v>145.3125</v>
      </c>
      <c r="N58" s="86">
        <f>N38*Assumptions!$C$21</f>
        <v>140.625</v>
      </c>
      <c r="O58" s="86">
        <f>O38*Assumptions!$C$21</f>
        <v>145.3125</v>
      </c>
      <c r="P58" s="87">
        <f t="shared" si="13"/>
        <v>1710.9375</v>
      </c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</row>
    <row r="59" spans="1:41">
      <c r="B59" s="61" t="s">
        <v>27</v>
      </c>
      <c r="C59" s="37"/>
      <c r="D59" s="39">
        <f>('12-Month Production and CF'!$C$2+'12-Month Production and CF'!D$31)*Assumptions!$C$22</f>
        <v>100</v>
      </c>
      <c r="E59" s="39">
        <f>('12-Month Production and CF'!$C$2+'12-Month Production and CF'!E$31)*Assumptions!$C$22</f>
        <v>120</v>
      </c>
      <c r="F59" s="39">
        <f>('12-Month Production and CF'!$C$2+'12-Month Production and CF'!F$31)*Assumptions!$C$22</f>
        <v>150</v>
      </c>
      <c r="G59" s="39">
        <f>('12-Month Production and CF'!$C$2+'12-Month Production and CF'!G$31)*Assumptions!$C$22</f>
        <v>150</v>
      </c>
      <c r="H59" s="39">
        <f>('12-Month Production and CF'!$C$2+'12-Month Production and CF'!H$31)*Assumptions!$C$22</f>
        <v>150</v>
      </c>
      <c r="I59" s="39">
        <f>('12-Month Production and CF'!$C$2+'12-Month Production and CF'!I$31)*Assumptions!$C$22</f>
        <v>150</v>
      </c>
      <c r="J59" s="39">
        <f>('12-Month Production and CF'!$C$2+'12-Month Production and CF'!J$31)*Assumptions!$C$22</f>
        <v>150</v>
      </c>
      <c r="K59" s="39">
        <f>('12-Month Production and CF'!$C$2+'12-Month Production and CF'!K$31)*Assumptions!$C$22</f>
        <v>150</v>
      </c>
      <c r="L59" s="39">
        <f>('12-Month Production and CF'!$C$2+'12-Month Production and CF'!L$31)*Assumptions!$C$22</f>
        <v>150</v>
      </c>
      <c r="M59" s="39">
        <f>('12-Month Production and CF'!$C$2+'12-Month Production and CF'!M$31)*Assumptions!$C$22</f>
        <v>150</v>
      </c>
      <c r="N59" s="39">
        <f>('12-Month Production and CF'!$C$2+'12-Month Production and CF'!N$31)*Assumptions!$C$22</f>
        <v>150</v>
      </c>
      <c r="O59" s="39">
        <f>('12-Month Production and CF'!$C$2+'12-Month Production and CF'!O$31)*Assumptions!$C$22</f>
        <v>150</v>
      </c>
      <c r="P59" s="62">
        <f t="shared" si="13"/>
        <v>1720</v>
      </c>
      <c r="Q59" s="29"/>
    </row>
    <row r="60" spans="1:41" s="34" customFormat="1">
      <c r="A60" s="29"/>
      <c r="B60" s="81" t="s">
        <v>71</v>
      </c>
      <c r="C60" s="82"/>
      <c r="D60" s="84">
        <f>('12-Month Production and CF'!$C$2+'12-Month Production and CF'!D$31)*Assumptions!$C$23</f>
        <v>531.25</v>
      </c>
      <c r="E60" s="84">
        <f>('12-Month Production and CF'!$C$2+'12-Month Production and CF'!E$31)*Assumptions!$C$23</f>
        <v>637.5</v>
      </c>
      <c r="F60" s="84">
        <f>('12-Month Production and CF'!$C$2+'12-Month Production and CF'!F$31)*Assumptions!$C$23</f>
        <v>796.875</v>
      </c>
      <c r="G60" s="84">
        <f>('12-Month Production and CF'!$C$2+'12-Month Production and CF'!G$31)*Assumptions!$C$23</f>
        <v>796.875</v>
      </c>
      <c r="H60" s="84">
        <f>('12-Month Production and CF'!$C$2+'12-Month Production and CF'!H$31)*Assumptions!$C$23</f>
        <v>796.875</v>
      </c>
      <c r="I60" s="84">
        <f>('12-Month Production and CF'!$C$2+'12-Month Production and CF'!I$31)*Assumptions!$C$23</f>
        <v>796.875</v>
      </c>
      <c r="J60" s="84">
        <f>('12-Month Production and CF'!$C$2+'12-Month Production and CF'!J$31)*Assumptions!$C$23</f>
        <v>796.875</v>
      </c>
      <c r="K60" s="84">
        <f>('12-Month Production and CF'!$C$2+'12-Month Production and CF'!K$31)*Assumptions!$C$23</f>
        <v>796.875</v>
      </c>
      <c r="L60" s="84">
        <f>('12-Month Production and CF'!$C$2+'12-Month Production and CF'!L$31)*Assumptions!$C$23</f>
        <v>796.875</v>
      </c>
      <c r="M60" s="84">
        <f>('12-Month Production and CF'!$C$2+'12-Month Production and CF'!M$31)*Assumptions!$C$23</f>
        <v>796.875</v>
      </c>
      <c r="N60" s="84">
        <f>('12-Month Production and CF'!$C$2+'12-Month Production and CF'!N$31)*Assumptions!$C$23</f>
        <v>796.875</v>
      </c>
      <c r="O60" s="84">
        <f>('12-Month Production and CF'!$C$2+'12-Month Production and CF'!O$31)*Assumptions!$C$23</f>
        <v>796.875</v>
      </c>
      <c r="P60" s="80">
        <f t="shared" si="13"/>
        <v>9137.5</v>
      </c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</row>
    <row r="61" spans="1:41">
      <c r="B61" s="61" t="s">
        <v>72</v>
      </c>
      <c r="C61" s="37"/>
      <c r="D61" s="39">
        <f>('12-Month Production and CF'!$C$2+'12-Month Production and CF'!D$31)*Assumptions!$C$24</f>
        <v>208.33333333333331</v>
      </c>
      <c r="E61" s="39">
        <f>('12-Month Production and CF'!$C$2+'12-Month Production and CF'!E$31)*Assumptions!$C$24</f>
        <v>249.99999999999997</v>
      </c>
      <c r="F61" s="39">
        <f>('12-Month Production and CF'!$C$2+'12-Month Production and CF'!F$31)*Assumptions!$C$24</f>
        <v>312.5</v>
      </c>
      <c r="G61" s="39">
        <f>('12-Month Production and CF'!$C$2+'12-Month Production and CF'!G$31)*Assumptions!$C$24</f>
        <v>312.5</v>
      </c>
      <c r="H61" s="39">
        <f>('12-Month Production and CF'!$C$2+'12-Month Production and CF'!H$31)*Assumptions!$C$24</f>
        <v>312.5</v>
      </c>
      <c r="I61" s="39">
        <f>('12-Month Production and CF'!$C$2+'12-Month Production and CF'!I$31)*Assumptions!$C$24</f>
        <v>312.5</v>
      </c>
      <c r="J61" s="39">
        <f>('12-Month Production and CF'!$C$2+'12-Month Production and CF'!J$31)*Assumptions!$C$24</f>
        <v>312.5</v>
      </c>
      <c r="K61" s="39">
        <f>('12-Month Production and CF'!$C$2+'12-Month Production and CF'!K$31)*Assumptions!$C$24</f>
        <v>312.5</v>
      </c>
      <c r="L61" s="39">
        <f>('12-Month Production and CF'!$C$2+'12-Month Production and CF'!L$31)*Assumptions!$C$24</f>
        <v>312.5</v>
      </c>
      <c r="M61" s="39">
        <f>('12-Month Production and CF'!$C$2+'12-Month Production and CF'!M$31)*Assumptions!$C$24</f>
        <v>312.5</v>
      </c>
      <c r="N61" s="39">
        <f>('12-Month Production and CF'!$C$2+'12-Month Production and CF'!N$31)*Assumptions!$C$24</f>
        <v>312.5</v>
      </c>
      <c r="O61" s="39">
        <f>('12-Month Production and CF'!$C$2+'12-Month Production and CF'!O$31)*Assumptions!$C$24</f>
        <v>312.5</v>
      </c>
      <c r="P61" s="62">
        <f t="shared" si="13"/>
        <v>3583.333333333333</v>
      </c>
      <c r="Q61" s="29"/>
    </row>
    <row r="62" spans="1:41" s="34" customFormat="1">
      <c r="A62" s="29"/>
      <c r="B62" s="75" t="s">
        <v>73</v>
      </c>
      <c r="C62" s="76"/>
      <c r="D62" s="84">
        <f>('12-Month Production and CF'!$C$2+'12-Month Production and CF'!D$31)*Assumptions!$C$25</f>
        <v>312.5</v>
      </c>
      <c r="E62" s="84">
        <f>('12-Month Production and CF'!$C$2+'12-Month Production and CF'!E$31)*Assumptions!$C$25</f>
        <v>375</v>
      </c>
      <c r="F62" s="84">
        <f>('12-Month Production and CF'!$C$2+'12-Month Production and CF'!F$31)*Assumptions!$C$25</f>
        <v>468.75</v>
      </c>
      <c r="G62" s="84">
        <f>('12-Month Production and CF'!$C$2+'12-Month Production and CF'!G$31)*Assumptions!$C$25</f>
        <v>468.75</v>
      </c>
      <c r="H62" s="84">
        <f>('12-Month Production and CF'!$C$2+'12-Month Production and CF'!H$31)*Assumptions!$C$25</f>
        <v>468.75</v>
      </c>
      <c r="I62" s="84">
        <f>('12-Month Production and CF'!$C$2+'12-Month Production and CF'!I$31)*Assumptions!$C$25</f>
        <v>468.75</v>
      </c>
      <c r="J62" s="84">
        <f>('12-Month Production and CF'!$C$2+'12-Month Production and CF'!J$31)*Assumptions!$C$25</f>
        <v>468.75</v>
      </c>
      <c r="K62" s="84">
        <f>('12-Month Production and CF'!$C$2+'12-Month Production and CF'!K$31)*Assumptions!$C$25</f>
        <v>468.75</v>
      </c>
      <c r="L62" s="84">
        <f>('12-Month Production and CF'!$C$2+'12-Month Production and CF'!L$31)*Assumptions!$C$25</f>
        <v>468.75</v>
      </c>
      <c r="M62" s="84">
        <f>('12-Month Production and CF'!$C$2+'12-Month Production and CF'!M$31)*Assumptions!$C$25</f>
        <v>468.75</v>
      </c>
      <c r="N62" s="84">
        <f>('12-Month Production and CF'!$C$2+'12-Month Production and CF'!N$31)*Assumptions!$C$25</f>
        <v>468.75</v>
      </c>
      <c r="O62" s="84">
        <f>('12-Month Production and CF'!$C$2+'12-Month Production and CF'!O$31)*Assumptions!$C$25</f>
        <v>468.75</v>
      </c>
      <c r="P62" s="80">
        <f t="shared" si="13"/>
        <v>5375</v>
      </c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</row>
    <row r="63" spans="1:41">
      <c r="B63" s="53" t="s">
        <v>74</v>
      </c>
      <c r="C63" s="54"/>
      <c r="D63" s="39">
        <f>('12-Month Production and CF'!$C$2+'12-Month Production and CF'!D$31)*Assumptions!$C$26</f>
        <v>104.16666666666666</v>
      </c>
      <c r="E63" s="39">
        <f>('12-Month Production and CF'!$C$2+'12-Month Production and CF'!E$31)*Assumptions!$C$26</f>
        <v>124.99999999999999</v>
      </c>
      <c r="F63" s="39">
        <f>('12-Month Production and CF'!$C$2+'12-Month Production and CF'!F$31)*Assumptions!$C$26</f>
        <v>156.25</v>
      </c>
      <c r="G63" s="39">
        <f>('12-Month Production and CF'!$C$2+'12-Month Production and CF'!G$31)*Assumptions!$C$26</f>
        <v>156.25</v>
      </c>
      <c r="H63" s="39">
        <f>('12-Month Production and CF'!$C$2+'12-Month Production and CF'!H$31)*Assumptions!$C$26</f>
        <v>156.25</v>
      </c>
      <c r="I63" s="39">
        <f>('12-Month Production and CF'!$C$2+'12-Month Production and CF'!I$31)*Assumptions!$C$26</f>
        <v>156.25</v>
      </c>
      <c r="J63" s="39">
        <f>('12-Month Production and CF'!$C$2+'12-Month Production and CF'!J$31)*Assumptions!$C$26</f>
        <v>156.25</v>
      </c>
      <c r="K63" s="39">
        <f>('12-Month Production and CF'!$C$2+'12-Month Production and CF'!K$31)*Assumptions!$C$26</f>
        <v>156.25</v>
      </c>
      <c r="L63" s="39">
        <f>('12-Month Production and CF'!$C$2+'12-Month Production and CF'!L$31)*Assumptions!$C$26</f>
        <v>156.25</v>
      </c>
      <c r="M63" s="39">
        <f>('12-Month Production and CF'!$C$2+'12-Month Production and CF'!M$31)*Assumptions!$C$26</f>
        <v>156.25</v>
      </c>
      <c r="N63" s="39">
        <f>('12-Month Production and CF'!$C$2+'12-Month Production and CF'!N$31)*Assumptions!$C$26</f>
        <v>156.25</v>
      </c>
      <c r="O63" s="39">
        <f>('12-Month Production and CF'!$C$2+'12-Month Production and CF'!O$31)*Assumptions!$C$26</f>
        <v>156.25</v>
      </c>
      <c r="P63" s="62">
        <f t="shared" si="13"/>
        <v>1791.6666666666665</v>
      </c>
      <c r="Q63" s="29"/>
    </row>
    <row r="64" spans="1:41" s="34" customFormat="1">
      <c r="A64" s="29"/>
      <c r="B64" s="75" t="s">
        <v>75</v>
      </c>
      <c r="C64" s="76"/>
      <c r="D64" s="84">
        <f>('12-Month Production and CF'!$C$2+'12-Month Production and CF'!D$31)*Assumptions!$C$27</f>
        <v>260.41666666666669</v>
      </c>
      <c r="E64" s="84">
        <f>('12-Month Production and CF'!$C$2+'12-Month Production and CF'!E$31)*Assumptions!$C$27</f>
        <v>312.5</v>
      </c>
      <c r="F64" s="84">
        <f>('12-Month Production and CF'!$C$2+'12-Month Production and CF'!F$31)*Assumptions!$C$27</f>
        <v>390.625</v>
      </c>
      <c r="G64" s="84">
        <f>('12-Month Production and CF'!$C$2+'12-Month Production and CF'!G$31)*Assumptions!$C$27</f>
        <v>390.625</v>
      </c>
      <c r="H64" s="84">
        <f>('12-Month Production and CF'!$C$2+'12-Month Production and CF'!H$31)*Assumptions!$C$27</f>
        <v>390.625</v>
      </c>
      <c r="I64" s="84">
        <f>('12-Month Production and CF'!$C$2+'12-Month Production and CF'!I$31)*Assumptions!$C$27</f>
        <v>390.625</v>
      </c>
      <c r="J64" s="84">
        <f>('12-Month Production and CF'!$C$2+'12-Month Production and CF'!J$31)*Assumptions!$C$27</f>
        <v>390.625</v>
      </c>
      <c r="K64" s="84">
        <f>('12-Month Production and CF'!$C$2+'12-Month Production and CF'!K$31)*Assumptions!$C$27</f>
        <v>390.625</v>
      </c>
      <c r="L64" s="84">
        <f>('12-Month Production and CF'!$C$2+'12-Month Production and CF'!L$31)*Assumptions!$C$27</f>
        <v>390.625</v>
      </c>
      <c r="M64" s="84">
        <f>('12-Month Production and CF'!$C$2+'12-Month Production and CF'!M$31)*Assumptions!$C$27</f>
        <v>390.625</v>
      </c>
      <c r="N64" s="84">
        <f>('12-Month Production and CF'!$C$2+'12-Month Production and CF'!N$31)*Assumptions!$C$27</f>
        <v>390.625</v>
      </c>
      <c r="O64" s="84">
        <f>('12-Month Production and CF'!$C$2+'12-Month Production and CF'!O$31)*Assumptions!$C$27</f>
        <v>390.625</v>
      </c>
      <c r="P64" s="80">
        <f t="shared" si="13"/>
        <v>4479.166666666667</v>
      </c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</row>
    <row r="65" spans="1:41">
      <c r="B65" s="53" t="s">
        <v>76</v>
      </c>
      <c r="C65" s="54"/>
      <c r="D65" s="39">
        <f>('12-Month Production and CF'!$C$2+'12-Month Production and CF'!D$31)*Assumptions!$C$28</f>
        <v>208.33333333333331</v>
      </c>
      <c r="E65" s="39">
        <f>('12-Month Production and CF'!$C$2+'12-Month Production and CF'!E$31)*Assumptions!$C$28</f>
        <v>249.99999999999997</v>
      </c>
      <c r="F65" s="39">
        <f>('12-Month Production and CF'!$C$2+'12-Month Production and CF'!F$31)*Assumptions!$C$28</f>
        <v>312.5</v>
      </c>
      <c r="G65" s="39">
        <f>('12-Month Production and CF'!$C$2+'12-Month Production and CF'!G$31)*Assumptions!$C$28</f>
        <v>312.5</v>
      </c>
      <c r="H65" s="39">
        <f>('12-Month Production and CF'!$C$2+'12-Month Production and CF'!H$31)*Assumptions!$C$28</f>
        <v>312.5</v>
      </c>
      <c r="I65" s="39">
        <f>('12-Month Production and CF'!$C$2+'12-Month Production and CF'!I$31)*Assumptions!$C$28</f>
        <v>312.5</v>
      </c>
      <c r="J65" s="39">
        <f>('12-Month Production and CF'!$C$2+'12-Month Production and CF'!J$31)*Assumptions!$C$28</f>
        <v>312.5</v>
      </c>
      <c r="K65" s="39">
        <f>('12-Month Production and CF'!$C$2+'12-Month Production and CF'!K$31)*Assumptions!$C$28</f>
        <v>312.5</v>
      </c>
      <c r="L65" s="39">
        <f>('12-Month Production and CF'!$C$2+'12-Month Production and CF'!L$31)*Assumptions!$C$28</f>
        <v>312.5</v>
      </c>
      <c r="M65" s="39">
        <f>('12-Month Production and CF'!$C$2+'12-Month Production and CF'!M$31)*Assumptions!$C$28</f>
        <v>312.5</v>
      </c>
      <c r="N65" s="39">
        <f>('12-Month Production and CF'!$C$2+'12-Month Production and CF'!N$31)*Assumptions!$C$28</f>
        <v>312.5</v>
      </c>
      <c r="O65" s="39">
        <f>('12-Month Production and CF'!$C$2+'12-Month Production and CF'!O$31)*Assumptions!$C$28</f>
        <v>312.5</v>
      </c>
      <c r="P65" s="62">
        <f t="shared" si="13"/>
        <v>3583.333333333333</v>
      </c>
      <c r="Q65" s="29"/>
    </row>
    <row r="66" spans="1:41" s="34" customFormat="1">
      <c r="A66" s="29"/>
      <c r="B66" s="75" t="s">
        <v>77</v>
      </c>
      <c r="C66" s="76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9">
        <f t="shared" si="13"/>
        <v>0</v>
      </c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</row>
    <row r="67" spans="1:41">
      <c r="B67" s="53" t="s">
        <v>78</v>
      </c>
      <c r="C67" s="54"/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100">
        <f t="shared" si="13"/>
        <v>0</v>
      </c>
      <c r="Q67" s="29"/>
    </row>
    <row r="68" spans="1:41" s="34" customFormat="1">
      <c r="A68" s="29"/>
      <c r="B68" s="85" t="s">
        <v>162</v>
      </c>
      <c r="C68" s="82"/>
      <c r="D68" s="121">
        <f>C$2*Assumptions!C$31</f>
        <v>2257</v>
      </c>
      <c r="E68" s="121">
        <f>D68</f>
        <v>2257</v>
      </c>
      <c r="F68" s="121">
        <f t="shared" ref="F68:N68" si="15">E68</f>
        <v>2257</v>
      </c>
      <c r="G68" s="121">
        <f t="shared" si="15"/>
        <v>2257</v>
      </c>
      <c r="H68" s="121">
        <f t="shared" si="15"/>
        <v>2257</v>
      </c>
      <c r="I68" s="121">
        <f t="shared" si="15"/>
        <v>2257</v>
      </c>
      <c r="J68" s="121">
        <f t="shared" si="15"/>
        <v>2257</v>
      </c>
      <c r="K68" s="121">
        <f t="shared" si="15"/>
        <v>2257</v>
      </c>
      <c r="L68" s="121">
        <f t="shared" si="15"/>
        <v>2257</v>
      </c>
      <c r="M68" s="121">
        <f t="shared" si="15"/>
        <v>2257</v>
      </c>
      <c r="N68" s="121">
        <f t="shared" si="15"/>
        <v>2257</v>
      </c>
      <c r="O68" s="121">
        <f>N68</f>
        <v>2257</v>
      </c>
      <c r="P68" s="99">
        <f t="shared" si="13"/>
        <v>27084</v>
      </c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</row>
    <row r="69" spans="1:41">
      <c r="B69" s="65" t="s">
        <v>79</v>
      </c>
      <c r="C69" s="59"/>
      <c r="D69" s="66">
        <f>SUM(D53:D68)</f>
        <v>13644.4375</v>
      </c>
      <c r="E69" s="66">
        <f t="shared" ref="E69:O69" si="16">SUM(E53:E68)</f>
        <v>15635.35</v>
      </c>
      <c r="F69" s="66">
        <f t="shared" si="16"/>
        <v>21516.8125</v>
      </c>
      <c r="G69" s="66">
        <f t="shared" si="16"/>
        <v>20995.125</v>
      </c>
      <c r="H69" s="66">
        <f t="shared" si="16"/>
        <v>21516.8125</v>
      </c>
      <c r="I69" s="66">
        <f t="shared" si="16"/>
        <v>20995.125</v>
      </c>
      <c r="J69" s="66">
        <f t="shared" si="16"/>
        <v>21516.8125</v>
      </c>
      <c r="K69" s="66">
        <f t="shared" si="16"/>
        <v>21516.8125</v>
      </c>
      <c r="L69" s="66">
        <f t="shared" si="16"/>
        <v>20995.125</v>
      </c>
      <c r="M69" s="66">
        <f t="shared" si="16"/>
        <v>21516.8125</v>
      </c>
      <c r="N69" s="66">
        <f t="shared" si="16"/>
        <v>20995.125</v>
      </c>
      <c r="O69" s="66">
        <f t="shared" si="16"/>
        <v>21516.8125</v>
      </c>
      <c r="P69" s="62">
        <f>SUM(D69:O69)</f>
        <v>242361.16250000001</v>
      </c>
      <c r="Q69" s="29"/>
    </row>
    <row r="70" spans="1:41" s="29" customFormat="1">
      <c r="B70" s="88" t="s">
        <v>0</v>
      </c>
      <c r="C70" s="89"/>
      <c r="P70" s="90" t="s">
        <v>0</v>
      </c>
    </row>
    <row r="71" spans="1:41">
      <c r="B71" s="59" t="s">
        <v>146</v>
      </c>
      <c r="C71" s="59"/>
      <c r="P71" s="62" t="s">
        <v>0</v>
      </c>
      <c r="Q71" s="29"/>
    </row>
    <row r="72" spans="1:41" s="34" customFormat="1">
      <c r="A72" s="29"/>
      <c r="B72" s="75" t="s">
        <v>80</v>
      </c>
      <c r="C72" s="76"/>
      <c r="D72" s="93"/>
      <c r="E72" s="93"/>
      <c r="F72" s="93"/>
      <c r="G72" s="93"/>
      <c r="H72" s="93"/>
      <c r="I72" s="93"/>
      <c r="J72" s="93"/>
      <c r="K72" s="93"/>
      <c r="L72" s="93"/>
      <c r="M72" s="93"/>
      <c r="N72" s="93"/>
      <c r="O72" s="93"/>
      <c r="P72" s="99">
        <f t="shared" si="13"/>
        <v>0</v>
      </c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</row>
    <row r="73" spans="1:41">
      <c r="B73" s="53" t="s">
        <v>81</v>
      </c>
      <c r="C73" s="54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100">
        <f t="shared" si="13"/>
        <v>0</v>
      </c>
      <c r="Q73" s="29"/>
    </row>
    <row r="74" spans="1:41" s="34" customFormat="1">
      <c r="A74" s="29"/>
      <c r="B74" s="75" t="s">
        <v>82</v>
      </c>
      <c r="C74" s="76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9">
        <f t="shared" si="13"/>
        <v>0</v>
      </c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</row>
    <row r="75" spans="1:41">
      <c r="B75" s="53" t="s">
        <v>83</v>
      </c>
      <c r="C75" s="54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100">
        <f t="shared" si="13"/>
        <v>0</v>
      </c>
      <c r="Q75" s="29"/>
    </row>
    <row r="76" spans="1:41" s="34" customFormat="1">
      <c r="A76" s="29"/>
      <c r="B76" s="75" t="s">
        <v>147</v>
      </c>
      <c r="C76" s="76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9">
        <f t="shared" si="13"/>
        <v>0</v>
      </c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</row>
    <row r="77" spans="1:41">
      <c r="B77" s="53" t="s">
        <v>116</v>
      </c>
      <c r="C77" s="54"/>
      <c r="D77" s="93"/>
      <c r="E77" s="93"/>
      <c r="F77" s="93"/>
      <c r="G77" s="93"/>
      <c r="H77" s="93"/>
      <c r="I77" s="93"/>
      <c r="J77" s="93"/>
      <c r="K77" s="93"/>
      <c r="L77" s="93"/>
      <c r="M77" s="93"/>
      <c r="N77" s="93"/>
      <c r="O77" s="93"/>
      <c r="P77" s="100">
        <f t="shared" si="13"/>
        <v>0</v>
      </c>
      <c r="Q77" s="29"/>
    </row>
    <row r="78" spans="1:41" s="34" customFormat="1">
      <c r="A78" s="29"/>
      <c r="B78" s="75" t="s">
        <v>84</v>
      </c>
      <c r="C78" s="76"/>
      <c r="D78" s="93"/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9">
        <f t="shared" si="13"/>
        <v>0</v>
      </c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</row>
    <row r="79" spans="1:41">
      <c r="B79" s="65" t="s">
        <v>85</v>
      </c>
      <c r="C79" s="59"/>
      <c r="D79" s="31">
        <f>SUM(D72:D78)</f>
        <v>0</v>
      </c>
      <c r="E79" s="31">
        <f t="shared" ref="E79:O79" si="17">SUM(E72:E78)</f>
        <v>0</v>
      </c>
      <c r="F79" s="31">
        <f t="shared" si="17"/>
        <v>0</v>
      </c>
      <c r="G79" s="31">
        <f t="shared" si="17"/>
        <v>0</v>
      </c>
      <c r="H79" s="31">
        <f t="shared" si="17"/>
        <v>0</v>
      </c>
      <c r="I79" s="31">
        <f t="shared" si="17"/>
        <v>0</v>
      </c>
      <c r="J79" s="31">
        <f t="shared" si="17"/>
        <v>0</v>
      </c>
      <c r="K79" s="31">
        <f t="shared" si="17"/>
        <v>0</v>
      </c>
      <c r="L79" s="31">
        <f t="shared" si="17"/>
        <v>0</v>
      </c>
      <c r="M79" s="31">
        <f t="shared" si="17"/>
        <v>0</v>
      </c>
      <c r="N79" s="31">
        <f t="shared" si="17"/>
        <v>0</v>
      </c>
      <c r="O79" s="31">
        <f t="shared" si="17"/>
        <v>0</v>
      </c>
      <c r="P79" s="62">
        <f t="shared" si="13"/>
        <v>0</v>
      </c>
      <c r="Q79" s="29"/>
    </row>
    <row r="80" spans="1:41" s="29" customFormat="1" ht="14.5" thickBot="1">
      <c r="B80" s="91"/>
      <c r="C80" s="91"/>
      <c r="P80" s="90" t="s">
        <v>0</v>
      </c>
    </row>
    <row r="81" spans="2:17" ht="14.5" thickBot="1">
      <c r="B81" s="57" t="s">
        <v>86</v>
      </c>
      <c r="C81" s="58"/>
      <c r="D81" s="39">
        <f>D69+D79</f>
        <v>13644.4375</v>
      </c>
      <c r="E81" s="39">
        <f t="shared" ref="E81:O81" si="18">E69+E79</f>
        <v>15635.35</v>
      </c>
      <c r="F81" s="39">
        <f t="shared" si="18"/>
        <v>21516.8125</v>
      </c>
      <c r="G81" s="39">
        <f t="shared" si="18"/>
        <v>20995.125</v>
      </c>
      <c r="H81" s="39">
        <f t="shared" si="18"/>
        <v>21516.8125</v>
      </c>
      <c r="I81" s="39">
        <f t="shared" si="18"/>
        <v>20995.125</v>
      </c>
      <c r="J81" s="39">
        <f t="shared" si="18"/>
        <v>21516.8125</v>
      </c>
      <c r="K81" s="39">
        <f t="shared" si="18"/>
        <v>21516.8125</v>
      </c>
      <c r="L81" s="39">
        <f t="shared" si="18"/>
        <v>20995.125</v>
      </c>
      <c r="M81" s="39">
        <f t="shared" si="18"/>
        <v>21516.8125</v>
      </c>
      <c r="N81" s="39">
        <f t="shared" si="18"/>
        <v>20995.125</v>
      </c>
      <c r="O81" s="39">
        <f t="shared" si="18"/>
        <v>21516.8125</v>
      </c>
      <c r="P81" s="62">
        <f t="shared" si="13"/>
        <v>242361.16250000001</v>
      </c>
      <c r="Q81" s="29"/>
    </row>
    <row r="82" spans="2:17" s="29" customFormat="1" ht="14.5" thickBot="1">
      <c r="B82" s="91"/>
      <c r="C82" s="91"/>
      <c r="P82" s="90" t="s">
        <v>0</v>
      </c>
    </row>
    <row r="83" spans="2:17" ht="14.5" thickBot="1">
      <c r="B83" s="67" t="s">
        <v>87</v>
      </c>
      <c r="C83" s="68"/>
      <c r="D83" s="39">
        <f t="shared" ref="D83:O83" si="19">D49-D81</f>
        <v>1390.5625</v>
      </c>
      <c r="E83" s="39">
        <f t="shared" si="19"/>
        <v>6773.9</v>
      </c>
      <c r="F83" s="39">
        <f t="shared" si="19"/>
        <v>6412.2625000000007</v>
      </c>
      <c r="G83" s="39">
        <f t="shared" si="19"/>
        <v>1921.125</v>
      </c>
      <c r="H83" s="39">
        <f t="shared" si="19"/>
        <v>2498.1125000000029</v>
      </c>
      <c r="I83" s="39">
        <f t="shared" si="19"/>
        <v>2949.375</v>
      </c>
      <c r="J83" s="39">
        <f t="shared" si="19"/>
        <v>7275.9874999999993</v>
      </c>
      <c r="K83" s="39">
        <f t="shared" si="19"/>
        <v>7675.8875000000007</v>
      </c>
      <c r="L83" s="39">
        <f t="shared" si="19"/>
        <v>8901.7500000000036</v>
      </c>
      <c r="M83" s="39">
        <f t="shared" si="19"/>
        <v>-4475.0275000000001</v>
      </c>
      <c r="N83" s="39">
        <f t="shared" si="19"/>
        <v>-16190.325000000001</v>
      </c>
      <c r="O83" s="39">
        <f t="shared" si="19"/>
        <v>-13999.3125</v>
      </c>
      <c r="P83" s="62">
        <f t="shared" si="13"/>
        <v>11134.297500000011</v>
      </c>
      <c r="Q83" s="29"/>
    </row>
    <row r="84" spans="2:17" s="29" customFormat="1"/>
    <row r="85" spans="2:17" s="29" customFormat="1"/>
    <row r="86" spans="2:17" s="29" customFormat="1"/>
    <row r="87" spans="2:17" s="29" customFormat="1"/>
    <row r="88" spans="2:17" s="29" customFormat="1"/>
    <row r="89" spans="2:17" s="29" customFormat="1"/>
    <row r="90" spans="2:17" s="29" customFormat="1"/>
    <row r="91" spans="2:17" s="29" customFormat="1"/>
    <row r="92" spans="2:17" s="29" customFormat="1"/>
    <row r="93" spans="2:17" s="29" customFormat="1"/>
    <row r="94" spans="2:17" s="29" customFormat="1"/>
    <row r="95" spans="2:17" s="29" customFormat="1"/>
    <row r="96" spans="2:17" s="29" customFormat="1"/>
    <row r="97" s="29" customFormat="1"/>
    <row r="98" s="29" customFormat="1"/>
    <row r="99" s="29" customFormat="1"/>
    <row r="100" s="29" customFormat="1"/>
    <row r="101" s="29" customFormat="1"/>
    <row r="102" s="29" customFormat="1"/>
    <row r="103" s="29" customFormat="1"/>
    <row r="104" s="29" customFormat="1"/>
    <row r="105" s="29" customFormat="1"/>
    <row r="106" s="29" customFormat="1"/>
    <row r="107" s="29" customFormat="1"/>
    <row r="108" s="29" customFormat="1"/>
    <row r="109" s="29" customFormat="1"/>
    <row r="110" s="29" customFormat="1"/>
    <row r="111" s="29" customFormat="1"/>
    <row r="112" s="29" customFormat="1"/>
    <row r="113" spans="17:17" s="29" customFormat="1"/>
    <row r="114" spans="17:17" s="29" customFormat="1"/>
    <row r="115" spans="17:17" s="29" customFormat="1"/>
    <row r="116" spans="17:17" s="29" customFormat="1"/>
    <row r="117" spans="17:17" s="29" customFormat="1"/>
    <row r="118" spans="17:17" s="29" customFormat="1"/>
    <row r="119" spans="17:17">
      <c r="Q119" s="29"/>
    </row>
    <row r="120" spans="17:17">
      <c r="Q120" s="29"/>
    </row>
    <row r="121" spans="17:17">
      <c r="Q121" s="29"/>
    </row>
    <row r="122" spans="17:17">
      <c r="Q122" s="29"/>
    </row>
    <row r="123" spans="17:17">
      <c r="Q123" s="29"/>
    </row>
    <row r="124" spans="17:17">
      <c r="Q124" s="29"/>
    </row>
  </sheetData>
  <pageMargins left="0.7" right="0.7" top="0.75" bottom="0.75" header="0.3" footer="0.3"/>
  <pageSetup orientation="portrait" horizontalDpi="4294967293" verticalDpi="4294967293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261"/>
  <sheetViews>
    <sheetView topLeftCell="A15" zoomScale="154" zoomScaleNormal="154" workbookViewId="0">
      <selection activeCell="H38" sqref="H38"/>
    </sheetView>
  </sheetViews>
  <sheetFormatPr defaultRowHeight="14.5"/>
  <cols>
    <col min="2" max="2" width="11.54296875" customWidth="1"/>
    <col min="3" max="3" width="15.7265625" customWidth="1"/>
    <col min="4" max="4" width="25" customWidth="1"/>
    <col min="7" max="7" width="20.36328125" customWidth="1"/>
    <col min="8" max="8" width="19" customWidth="1"/>
    <col min="9" max="9" width="25.54296875" customWidth="1"/>
    <col min="10" max="21" width="8.90625" style="136"/>
  </cols>
  <sheetData>
    <row r="1" spans="1:9" s="136" customFormat="1"/>
    <row r="2" spans="1:9" ht="55.25" customHeight="1">
      <c r="F2" s="101" t="s">
        <v>152</v>
      </c>
    </row>
    <row r="3" spans="1:9" ht="20.399999999999999" customHeight="1">
      <c r="E3" t="s">
        <v>178</v>
      </c>
    </row>
    <row r="4" spans="1:9">
      <c r="A4" s="136"/>
      <c r="B4" s="136"/>
      <c r="C4" s="136"/>
      <c r="D4" s="136"/>
      <c r="E4" s="136"/>
      <c r="F4" s="136"/>
      <c r="G4" s="136"/>
      <c r="H4" s="136"/>
      <c r="I4" s="136"/>
    </row>
    <row r="5" spans="1:9">
      <c r="A5" s="136"/>
      <c r="B5" t="s">
        <v>109</v>
      </c>
      <c r="D5" s="135">
        <f>G5*'12-Month Production and CF'!C2</f>
        <v>68750</v>
      </c>
      <c r="F5" t="s">
        <v>159</v>
      </c>
      <c r="G5" s="124">
        <v>275</v>
      </c>
      <c r="H5" t="s">
        <v>160</v>
      </c>
    </row>
    <row r="6" spans="1:9" s="136" customFormat="1">
      <c r="B6"/>
      <c r="C6"/>
      <c r="D6"/>
      <c r="E6"/>
      <c r="F6"/>
      <c r="G6"/>
      <c r="H6"/>
      <c r="I6"/>
    </row>
    <row r="7" spans="1:9">
      <c r="A7" s="136"/>
      <c r="B7" t="s">
        <v>108</v>
      </c>
      <c r="D7" s="27"/>
    </row>
    <row r="8" spans="1:9">
      <c r="A8" s="136"/>
      <c r="C8" t="s">
        <v>28</v>
      </c>
      <c r="D8" s="125"/>
    </row>
    <row r="9" spans="1:9">
      <c r="A9" s="136"/>
      <c r="C9" t="s">
        <v>29</v>
      </c>
      <c r="D9" s="125"/>
    </row>
    <row r="10" spans="1:9">
      <c r="A10" s="136"/>
      <c r="C10" t="s">
        <v>30</v>
      </c>
      <c r="D10" s="125"/>
    </row>
    <row r="11" spans="1:9">
      <c r="A11" s="136"/>
      <c r="C11" t="s">
        <v>31</v>
      </c>
      <c r="D11" s="125"/>
    </row>
    <row r="12" spans="1:9">
      <c r="A12" s="136"/>
      <c r="C12" t="s">
        <v>32</v>
      </c>
      <c r="D12" s="125"/>
    </row>
    <row r="13" spans="1:9">
      <c r="A13" s="136"/>
      <c r="C13" t="s">
        <v>33</v>
      </c>
      <c r="D13" s="125"/>
    </row>
    <row r="14" spans="1:9">
      <c r="A14" s="136"/>
      <c r="C14" t="s">
        <v>156</v>
      </c>
      <c r="D14" s="27">
        <f>SUM(D8:D13)</f>
        <v>0</v>
      </c>
    </row>
    <row r="15" spans="1:9" ht="15" thickBot="1">
      <c r="A15" s="136"/>
    </row>
    <row r="16" spans="1:9">
      <c r="A16" s="136"/>
      <c r="B16" s="138" t="s">
        <v>153</v>
      </c>
      <c r="C16" s="139"/>
      <c r="D16" s="139"/>
      <c r="E16" s="139"/>
      <c r="F16" s="139"/>
      <c r="G16" s="139" t="s">
        <v>183</v>
      </c>
      <c r="H16" s="140"/>
    </row>
    <row r="17" spans="1:9">
      <c r="A17" s="136"/>
      <c r="B17" s="109"/>
      <c r="C17" t="s">
        <v>95</v>
      </c>
      <c r="E17">
        <v>247</v>
      </c>
      <c r="F17">
        <f>'12-Month Production and CF'!C$2</f>
        <v>250</v>
      </c>
      <c r="G17">
        <f>E17*F17</f>
        <v>61750</v>
      </c>
      <c r="H17" s="141" t="s">
        <v>149</v>
      </c>
      <c r="I17" s="125"/>
    </row>
    <row r="18" spans="1:9">
      <c r="A18" s="136"/>
      <c r="B18" s="109"/>
      <c r="C18" t="s">
        <v>96</v>
      </c>
      <c r="E18">
        <v>20</v>
      </c>
      <c r="F18">
        <f>'12-Month Production and CF'!C$2</f>
        <v>250</v>
      </c>
      <c r="G18">
        <f t="shared" ref="G18:G20" si="0">E18*F18</f>
        <v>5000</v>
      </c>
      <c r="H18" s="141" t="s">
        <v>150</v>
      </c>
      <c r="I18" s="125"/>
    </row>
    <row r="19" spans="1:9">
      <c r="A19" s="136"/>
      <c r="B19" s="109"/>
      <c r="C19" t="s">
        <v>97</v>
      </c>
      <c r="E19">
        <v>1.1000000000000001</v>
      </c>
      <c r="F19">
        <f>'12-Month Production and CF'!C$2</f>
        <v>250</v>
      </c>
      <c r="G19">
        <f t="shared" si="0"/>
        <v>275</v>
      </c>
      <c r="H19" s="141" t="s">
        <v>148</v>
      </c>
      <c r="I19" s="125"/>
    </row>
    <row r="20" spans="1:9" ht="15" thickBot="1">
      <c r="A20" s="136"/>
      <c r="B20" s="142"/>
      <c r="C20" s="143" t="s">
        <v>98</v>
      </c>
      <c r="D20" s="143"/>
      <c r="E20" s="143">
        <v>6.56</v>
      </c>
      <c r="F20" s="143">
        <f>'12-Month Production and CF'!C$2</f>
        <v>250</v>
      </c>
      <c r="G20" s="143">
        <f t="shared" si="0"/>
        <v>1640</v>
      </c>
      <c r="H20" s="144" t="s">
        <v>148</v>
      </c>
      <c r="I20" s="125"/>
    </row>
    <row r="21" spans="1:9">
      <c r="A21" s="136"/>
      <c r="H21" t="s">
        <v>161</v>
      </c>
      <c r="I21" s="152">
        <v>113000</v>
      </c>
    </row>
    <row r="22" spans="1:9">
      <c r="A22" s="136"/>
      <c r="H22" t="s">
        <v>156</v>
      </c>
      <c r="I22" s="126">
        <f>SUM(I16:I21)</f>
        <v>113000</v>
      </c>
    </row>
    <row r="23" spans="1:9" ht="15" thickBot="1">
      <c r="A23" s="136"/>
    </row>
    <row r="24" spans="1:9">
      <c r="A24" s="136"/>
      <c r="B24" s="138" t="s">
        <v>154</v>
      </c>
      <c r="C24" s="139"/>
      <c r="D24" s="139"/>
      <c r="E24" s="139"/>
      <c r="F24" s="139"/>
      <c r="G24" s="139" t="s">
        <v>183</v>
      </c>
      <c r="H24" s="140"/>
    </row>
    <row r="25" spans="1:9">
      <c r="A25" s="136"/>
      <c r="B25" s="109"/>
      <c r="C25" t="s">
        <v>100</v>
      </c>
      <c r="E25">
        <v>10.7</v>
      </c>
      <c r="F25" s="28">
        <f>'12-Month Production and CF'!$F$26</f>
        <v>255</v>
      </c>
      <c r="G25">
        <f>E25*F25</f>
        <v>2728.5</v>
      </c>
      <c r="H25" s="141" t="s">
        <v>150</v>
      </c>
      <c r="I25" s="125"/>
    </row>
    <row r="26" spans="1:9">
      <c r="A26" s="136"/>
      <c r="B26" s="109"/>
      <c r="C26" t="s">
        <v>101</v>
      </c>
      <c r="E26">
        <v>1</v>
      </c>
      <c r="F26" s="28">
        <f>'12-Month Production and CF'!$F$26</f>
        <v>255</v>
      </c>
      <c r="G26">
        <f t="shared" ref="G26:G27" si="1">E26*F26</f>
        <v>255</v>
      </c>
      <c r="H26" s="141" t="s">
        <v>148</v>
      </c>
      <c r="I26" s="125"/>
    </row>
    <row r="27" spans="1:9" ht="15" thickBot="1">
      <c r="A27" s="136"/>
      <c r="B27" s="142"/>
      <c r="C27" s="143" t="s">
        <v>99</v>
      </c>
      <c r="D27" s="143"/>
      <c r="E27" s="143">
        <v>6</v>
      </c>
      <c r="F27" s="145">
        <f>'12-Month Production and CF'!$F$26</f>
        <v>255</v>
      </c>
      <c r="G27" s="143">
        <f t="shared" si="1"/>
        <v>1530</v>
      </c>
      <c r="H27" s="144" t="s">
        <v>148</v>
      </c>
      <c r="I27" s="125"/>
    </row>
    <row r="28" spans="1:9">
      <c r="A28" s="136"/>
      <c r="F28" s="28"/>
      <c r="H28" t="s">
        <v>161</v>
      </c>
      <c r="I28" s="152">
        <v>55000</v>
      </c>
    </row>
    <row r="29" spans="1:9">
      <c r="A29" s="136"/>
      <c r="H29" t="s">
        <v>156</v>
      </c>
      <c r="I29" s="27">
        <f>SUM(I24:I28)</f>
        <v>55000</v>
      </c>
    </row>
    <row r="30" spans="1:9">
      <c r="A30" s="136"/>
      <c r="C30" t="s">
        <v>102</v>
      </c>
      <c r="E30">
        <v>20</v>
      </c>
    </row>
    <row r="31" spans="1:9" ht="15" thickBot="1">
      <c r="A31" s="136"/>
    </row>
    <row r="32" spans="1:9">
      <c r="A32" s="136"/>
      <c r="B32" s="138" t="s">
        <v>155</v>
      </c>
      <c r="C32" s="139"/>
      <c r="D32" s="139"/>
      <c r="E32" s="139"/>
      <c r="F32" s="139"/>
      <c r="G32" s="140"/>
    </row>
    <row r="33" spans="1:8">
      <c r="A33" s="136"/>
      <c r="B33" s="109"/>
      <c r="C33" t="s">
        <v>187</v>
      </c>
      <c r="D33" s="146"/>
      <c r="G33" s="141"/>
    </row>
    <row r="34" spans="1:8">
      <c r="A34" s="136"/>
      <c r="B34" s="109"/>
      <c r="C34" t="s">
        <v>103</v>
      </c>
      <c r="D34" t="s">
        <v>104</v>
      </c>
      <c r="E34">
        <v>500</v>
      </c>
      <c r="F34" t="s">
        <v>151</v>
      </c>
      <c r="G34" s="141"/>
      <c r="H34" s="125"/>
    </row>
    <row r="35" spans="1:8">
      <c r="A35" s="136"/>
      <c r="B35" s="109"/>
      <c r="D35" t="s">
        <v>105</v>
      </c>
      <c r="E35">
        <v>1000</v>
      </c>
      <c r="F35" t="s">
        <v>151</v>
      </c>
      <c r="G35" s="141"/>
      <c r="H35" s="125"/>
    </row>
    <row r="36" spans="1:8" ht="15" thickBot="1">
      <c r="A36" s="136"/>
      <c r="B36" s="142"/>
      <c r="C36" s="143"/>
      <c r="D36" s="143" t="s">
        <v>106</v>
      </c>
      <c r="E36" s="143">
        <v>2000</v>
      </c>
      <c r="F36" s="143" t="s">
        <v>151</v>
      </c>
      <c r="G36" s="144"/>
      <c r="H36" s="125"/>
    </row>
    <row r="37" spans="1:8">
      <c r="A37" s="136"/>
      <c r="C37" t="s">
        <v>107</v>
      </c>
      <c r="H37" s="125"/>
    </row>
    <row r="38" spans="1:8">
      <c r="A38" s="136"/>
      <c r="C38" t="s">
        <v>0</v>
      </c>
      <c r="D38" t="s">
        <v>0</v>
      </c>
      <c r="G38" t="s">
        <v>161</v>
      </c>
      <c r="H38" s="152">
        <v>99000</v>
      </c>
    </row>
    <row r="39" spans="1:8">
      <c r="A39" s="136"/>
      <c r="G39" t="s">
        <v>156</v>
      </c>
      <c r="H39" s="27">
        <f>SUM(H34:H38)+D33</f>
        <v>99000</v>
      </c>
    </row>
    <row r="40" spans="1:8">
      <c r="A40" s="136"/>
    </row>
    <row r="41" spans="1:8">
      <c r="A41" s="136"/>
    </row>
    <row r="42" spans="1:8">
      <c r="A42" s="136"/>
    </row>
    <row r="43" spans="1:8">
      <c r="A43" s="136"/>
    </row>
    <row r="44" spans="1:8">
      <c r="A44" s="136"/>
    </row>
    <row r="45" spans="1:8">
      <c r="A45" s="136"/>
    </row>
    <row r="46" spans="1:8">
      <c r="A46" s="136"/>
    </row>
    <row r="47" spans="1:8">
      <c r="A47" s="136"/>
    </row>
    <row r="48" spans="1:8">
      <c r="A48" s="136"/>
    </row>
    <row r="49" spans="1:1">
      <c r="A49" s="136"/>
    </row>
    <row r="50" spans="1:1">
      <c r="A50" s="136"/>
    </row>
    <row r="51" spans="1:1">
      <c r="A51" s="136"/>
    </row>
    <row r="52" spans="1:1">
      <c r="A52" s="136"/>
    </row>
    <row r="53" spans="1:1">
      <c r="A53" s="136"/>
    </row>
    <row r="54" spans="1:1">
      <c r="A54" s="136"/>
    </row>
    <row r="55" spans="1:1">
      <c r="A55" s="136"/>
    </row>
    <row r="56" spans="1:1">
      <c r="A56" s="136"/>
    </row>
    <row r="57" spans="1:1">
      <c r="A57" s="136"/>
    </row>
    <row r="58" spans="1:1">
      <c r="A58" s="136"/>
    </row>
    <row r="59" spans="1:1">
      <c r="A59" s="136"/>
    </row>
    <row r="60" spans="1:1">
      <c r="A60" s="136"/>
    </row>
    <row r="61" spans="1:1">
      <c r="A61" s="136"/>
    </row>
    <row r="62" spans="1:1">
      <c r="A62" s="136"/>
    </row>
    <row r="63" spans="1:1">
      <c r="A63" s="136"/>
    </row>
    <row r="64" spans="1:1">
      <c r="A64" s="136"/>
    </row>
    <row r="65" spans="1:1">
      <c r="A65" s="136"/>
    </row>
    <row r="66" spans="1:1">
      <c r="A66" s="136"/>
    </row>
    <row r="67" spans="1:1">
      <c r="A67" s="136"/>
    </row>
    <row r="68" spans="1:1">
      <c r="A68" s="136"/>
    </row>
    <row r="69" spans="1:1">
      <c r="A69" s="136"/>
    </row>
    <row r="70" spans="1:1">
      <c r="A70" s="136"/>
    </row>
    <row r="71" spans="1:1">
      <c r="A71" s="136"/>
    </row>
    <row r="72" spans="1:1">
      <c r="A72" s="136"/>
    </row>
    <row r="73" spans="1:1">
      <c r="A73" s="136"/>
    </row>
    <row r="74" spans="1:1">
      <c r="A74" s="136"/>
    </row>
    <row r="75" spans="1:1">
      <c r="A75" s="136"/>
    </row>
    <row r="76" spans="1:1">
      <c r="A76" s="136"/>
    </row>
    <row r="77" spans="1:1">
      <c r="A77" s="136"/>
    </row>
    <row r="78" spans="1:1">
      <c r="A78" s="136"/>
    </row>
    <row r="79" spans="1:1">
      <c r="A79" s="136"/>
    </row>
    <row r="80" spans="1:1">
      <c r="A80" s="136"/>
    </row>
    <row r="81" spans="1:1">
      <c r="A81" s="136"/>
    </row>
    <row r="82" spans="1:1">
      <c r="A82" s="136"/>
    </row>
    <row r="83" spans="1:1">
      <c r="A83" s="136"/>
    </row>
    <row r="84" spans="1:1">
      <c r="A84" s="136"/>
    </row>
    <row r="85" spans="1:1">
      <c r="A85" s="136"/>
    </row>
    <row r="86" spans="1:1">
      <c r="A86" s="136"/>
    </row>
    <row r="87" spans="1:1">
      <c r="A87" s="136"/>
    </row>
    <row r="88" spans="1:1">
      <c r="A88" s="136"/>
    </row>
    <row r="89" spans="1:1">
      <c r="A89" s="136"/>
    </row>
    <row r="90" spans="1:1">
      <c r="A90" s="136"/>
    </row>
    <row r="91" spans="1:1">
      <c r="A91" s="136"/>
    </row>
    <row r="92" spans="1:1">
      <c r="A92" s="136"/>
    </row>
    <row r="93" spans="1:1">
      <c r="A93" s="136"/>
    </row>
    <row r="94" spans="1:1">
      <c r="A94" s="136"/>
    </row>
    <row r="95" spans="1:1">
      <c r="A95" s="136"/>
    </row>
    <row r="96" spans="1:1">
      <c r="A96" s="136"/>
    </row>
    <row r="97" spans="1:1">
      <c r="A97" s="136"/>
    </row>
    <row r="98" spans="1:1">
      <c r="A98" s="136"/>
    </row>
    <row r="99" spans="1:1">
      <c r="A99" s="136"/>
    </row>
    <row r="100" spans="1:1">
      <c r="A100" s="136"/>
    </row>
    <row r="101" spans="1:1">
      <c r="A101" s="136"/>
    </row>
    <row r="102" spans="1:1">
      <c r="A102" s="136"/>
    </row>
    <row r="103" spans="1:1">
      <c r="A103" s="136"/>
    </row>
    <row r="104" spans="1:1">
      <c r="A104" s="136"/>
    </row>
    <row r="105" spans="1:1">
      <c r="A105" s="136"/>
    </row>
    <row r="106" spans="1:1">
      <c r="A106" s="136"/>
    </row>
    <row r="107" spans="1:1">
      <c r="A107" s="136"/>
    </row>
    <row r="108" spans="1:1">
      <c r="A108" s="136"/>
    </row>
    <row r="109" spans="1:1">
      <c r="A109" s="136"/>
    </row>
    <row r="110" spans="1:1">
      <c r="A110" s="136"/>
    </row>
    <row r="111" spans="1:1">
      <c r="A111" s="136"/>
    </row>
    <row r="112" spans="1:1">
      <c r="A112" s="136"/>
    </row>
    <row r="113" spans="1:1">
      <c r="A113" s="136"/>
    </row>
    <row r="114" spans="1:1">
      <c r="A114" s="136"/>
    </row>
    <row r="115" spans="1:1">
      <c r="A115" s="136"/>
    </row>
    <row r="116" spans="1:1">
      <c r="A116" s="136"/>
    </row>
    <row r="117" spans="1:1">
      <c r="A117" s="136"/>
    </row>
    <row r="118" spans="1:1">
      <c r="A118" s="136"/>
    </row>
    <row r="119" spans="1:1">
      <c r="A119" s="136"/>
    </row>
    <row r="120" spans="1:1">
      <c r="A120" s="136"/>
    </row>
    <row r="121" spans="1:1">
      <c r="A121" s="136"/>
    </row>
    <row r="122" spans="1:1">
      <c r="A122" s="136"/>
    </row>
    <row r="123" spans="1:1">
      <c r="A123" s="136"/>
    </row>
    <row r="124" spans="1:1">
      <c r="A124" s="136"/>
    </row>
    <row r="125" spans="1:1">
      <c r="A125" s="136"/>
    </row>
    <row r="126" spans="1:1">
      <c r="A126" s="136"/>
    </row>
    <row r="127" spans="1:1">
      <c r="A127" s="136"/>
    </row>
    <row r="128" spans="1:1">
      <c r="A128" s="136"/>
    </row>
    <row r="129" spans="1:1">
      <c r="A129" s="136"/>
    </row>
    <row r="130" spans="1:1">
      <c r="A130" s="136"/>
    </row>
    <row r="131" spans="1:1">
      <c r="A131" s="136"/>
    </row>
    <row r="132" spans="1:1">
      <c r="A132" s="136"/>
    </row>
    <row r="133" spans="1:1">
      <c r="A133" s="136"/>
    </row>
    <row r="134" spans="1:1">
      <c r="A134" s="136"/>
    </row>
    <row r="135" spans="1:1">
      <c r="A135" s="136"/>
    </row>
    <row r="136" spans="1:1">
      <c r="A136" s="136"/>
    </row>
    <row r="137" spans="1:1">
      <c r="A137" s="136"/>
    </row>
    <row r="138" spans="1:1">
      <c r="A138" s="136"/>
    </row>
    <row r="139" spans="1:1">
      <c r="A139" s="136"/>
    </row>
    <row r="140" spans="1:1">
      <c r="A140" s="136"/>
    </row>
    <row r="141" spans="1:1">
      <c r="A141" s="136"/>
    </row>
    <row r="142" spans="1:1">
      <c r="A142" s="136"/>
    </row>
    <row r="143" spans="1:1">
      <c r="A143" s="136"/>
    </row>
    <row r="144" spans="1:1">
      <c r="A144" s="136"/>
    </row>
    <row r="145" spans="1:1">
      <c r="A145" s="136"/>
    </row>
    <row r="146" spans="1:1">
      <c r="A146" s="136"/>
    </row>
    <row r="147" spans="1:1">
      <c r="A147" s="136"/>
    </row>
    <row r="148" spans="1:1">
      <c r="A148" s="136"/>
    </row>
    <row r="149" spans="1:1">
      <c r="A149" s="136"/>
    </row>
    <row r="150" spans="1:1">
      <c r="A150" s="136"/>
    </row>
    <row r="151" spans="1:1">
      <c r="A151" s="136"/>
    </row>
    <row r="152" spans="1:1">
      <c r="A152" s="136"/>
    </row>
    <row r="153" spans="1:1">
      <c r="A153" s="136"/>
    </row>
    <row r="154" spans="1:1">
      <c r="A154" s="136"/>
    </row>
    <row r="155" spans="1:1">
      <c r="A155" s="136"/>
    </row>
    <row r="156" spans="1:1">
      <c r="A156" s="136"/>
    </row>
    <row r="157" spans="1:1">
      <c r="A157" s="136"/>
    </row>
    <row r="158" spans="1:1">
      <c r="A158" s="136"/>
    </row>
    <row r="159" spans="1:1">
      <c r="A159" s="136"/>
    </row>
    <row r="160" spans="1:1">
      <c r="A160" s="136"/>
    </row>
    <row r="161" spans="1:1">
      <c r="A161" s="136"/>
    </row>
    <row r="162" spans="1:1">
      <c r="A162" s="136"/>
    </row>
    <row r="163" spans="1:1">
      <c r="A163" s="136"/>
    </row>
    <row r="164" spans="1:1">
      <c r="A164" s="136"/>
    </row>
    <row r="165" spans="1:1">
      <c r="A165" s="136"/>
    </row>
    <row r="166" spans="1:1">
      <c r="A166" s="136"/>
    </row>
    <row r="167" spans="1:1">
      <c r="A167" s="136"/>
    </row>
    <row r="168" spans="1:1">
      <c r="A168" s="136"/>
    </row>
    <row r="169" spans="1:1">
      <c r="A169" s="136"/>
    </row>
    <row r="170" spans="1:1">
      <c r="A170" s="136"/>
    </row>
    <row r="171" spans="1:1">
      <c r="A171" s="136"/>
    </row>
    <row r="172" spans="1:1">
      <c r="A172" s="136"/>
    </row>
    <row r="173" spans="1:1">
      <c r="A173" s="136"/>
    </row>
    <row r="174" spans="1:1">
      <c r="A174" s="136"/>
    </row>
    <row r="175" spans="1:1">
      <c r="A175" s="136"/>
    </row>
    <row r="176" spans="1:1">
      <c r="A176" s="136"/>
    </row>
    <row r="177" spans="1:1">
      <c r="A177" s="136"/>
    </row>
    <row r="178" spans="1:1">
      <c r="A178" s="136"/>
    </row>
    <row r="179" spans="1:1">
      <c r="A179" s="136"/>
    </row>
    <row r="180" spans="1:1">
      <c r="A180" s="136"/>
    </row>
    <row r="181" spans="1:1">
      <c r="A181" s="136"/>
    </row>
    <row r="182" spans="1:1">
      <c r="A182" s="136"/>
    </row>
    <row r="183" spans="1:1">
      <c r="A183" s="136"/>
    </row>
    <row r="184" spans="1:1">
      <c r="A184" s="136"/>
    </row>
    <row r="185" spans="1:1">
      <c r="A185" s="136"/>
    </row>
    <row r="186" spans="1:1">
      <c r="A186" s="136"/>
    </row>
    <row r="187" spans="1:1">
      <c r="A187" s="136"/>
    </row>
    <row r="188" spans="1:1">
      <c r="A188" s="136"/>
    </row>
    <row r="189" spans="1:1">
      <c r="A189" s="136"/>
    </row>
    <row r="190" spans="1:1">
      <c r="A190" s="136"/>
    </row>
    <row r="191" spans="1:1">
      <c r="A191" s="136"/>
    </row>
    <row r="192" spans="1:1">
      <c r="A192" s="136"/>
    </row>
    <row r="193" spans="1:1">
      <c r="A193" s="136"/>
    </row>
    <row r="194" spans="1:1">
      <c r="A194" s="136"/>
    </row>
    <row r="195" spans="1:1">
      <c r="A195" s="136"/>
    </row>
    <row r="196" spans="1:1">
      <c r="A196" s="136"/>
    </row>
    <row r="197" spans="1:1">
      <c r="A197" s="136"/>
    </row>
    <row r="198" spans="1:1">
      <c r="A198" s="136"/>
    </row>
    <row r="199" spans="1:1">
      <c r="A199" s="136"/>
    </row>
    <row r="200" spans="1:1">
      <c r="A200" s="136"/>
    </row>
    <row r="201" spans="1:1">
      <c r="A201" s="136"/>
    </row>
    <row r="202" spans="1:1">
      <c r="A202" s="136"/>
    </row>
    <row r="203" spans="1:1">
      <c r="A203" s="136"/>
    </row>
    <row r="204" spans="1:1">
      <c r="A204" s="136"/>
    </row>
    <row r="205" spans="1:1">
      <c r="A205" s="136"/>
    </row>
    <row r="206" spans="1:1">
      <c r="A206" s="136"/>
    </row>
    <row r="207" spans="1:1">
      <c r="A207" s="136"/>
    </row>
    <row r="208" spans="1:1">
      <c r="A208" s="136"/>
    </row>
    <row r="209" spans="1:1">
      <c r="A209" s="136"/>
    </row>
    <row r="210" spans="1:1">
      <c r="A210" s="136"/>
    </row>
    <row r="211" spans="1:1">
      <c r="A211" s="136"/>
    </row>
    <row r="212" spans="1:1">
      <c r="A212" s="136"/>
    </row>
    <row r="213" spans="1:1">
      <c r="A213" s="136"/>
    </row>
    <row r="214" spans="1:1">
      <c r="A214" s="136"/>
    </row>
    <row r="215" spans="1:1">
      <c r="A215" s="136"/>
    </row>
    <row r="216" spans="1:1">
      <c r="A216" s="136"/>
    </row>
    <row r="217" spans="1:1">
      <c r="A217" s="136"/>
    </row>
    <row r="218" spans="1:1">
      <c r="A218" s="136"/>
    </row>
    <row r="219" spans="1:1">
      <c r="A219" s="136"/>
    </row>
    <row r="220" spans="1:1">
      <c r="A220" s="136"/>
    </row>
    <row r="221" spans="1:1">
      <c r="A221" s="136"/>
    </row>
    <row r="222" spans="1:1">
      <c r="A222" s="136"/>
    </row>
    <row r="223" spans="1:1">
      <c r="A223" s="136"/>
    </row>
    <row r="224" spans="1:1">
      <c r="A224" s="136"/>
    </row>
    <row r="225" spans="1:1">
      <c r="A225" s="136"/>
    </row>
    <row r="226" spans="1:1">
      <c r="A226" s="136"/>
    </row>
    <row r="227" spans="1:1">
      <c r="A227" s="136"/>
    </row>
    <row r="228" spans="1:1">
      <c r="A228" s="136"/>
    </row>
    <row r="229" spans="1:1">
      <c r="A229" s="136"/>
    </row>
    <row r="230" spans="1:1">
      <c r="A230" s="136"/>
    </row>
    <row r="231" spans="1:1">
      <c r="A231" s="136"/>
    </row>
    <row r="232" spans="1:1">
      <c r="A232" s="136"/>
    </row>
    <row r="233" spans="1:1">
      <c r="A233" s="136"/>
    </row>
    <row r="234" spans="1:1">
      <c r="A234" s="136"/>
    </row>
    <row r="235" spans="1:1">
      <c r="A235" s="136"/>
    </row>
    <row r="236" spans="1:1">
      <c r="A236" s="136"/>
    </row>
    <row r="237" spans="1:1">
      <c r="A237" s="136"/>
    </row>
    <row r="238" spans="1:1">
      <c r="A238" s="136"/>
    </row>
    <row r="239" spans="1:1">
      <c r="A239" s="136"/>
    </row>
    <row r="240" spans="1:1">
      <c r="A240" s="136"/>
    </row>
    <row r="241" spans="1:1">
      <c r="A241" s="136"/>
    </row>
    <row r="242" spans="1:1">
      <c r="A242" s="136"/>
    </row>
    <row r="243" spans="1:1">
      <c r="A243" s="136"/>
    </row>
    <row r="244" spans="1:1">
      <c r="A244" s="136"/>
    </row>
    <row r="245" spans="1:1">
      <c r="A245" s="136"/>
    </row>
    <row r="246" spans="1:1">
      <c r="A246" s="136"/>
    </row>
    <row r="247" spans="1:1">
      <c r="A247" s="136"/>
    </row>
    <row r="248" spans="1:1">
      <c r="A248" s="136"/>
    </row>
    <row r="249" spans="1:1">
      <c r="A249" s="136"/>
    </row>
    <row r="250" spans="1:1">
      <c r="A250" s="136"/>
    </row>
    <row r="251" spans="1:1">
      <c r="A251" s="136"/>
    </row>
    <row r="252" spans="1:1">
      <c r="A252" s="136"/>
    </row>
    <row r="253" spans="1:1">
      <c r="A253" s="136"/>
    </row>
    <row r="254" spans="1:1">
      <c r="A254" s="136"/>
    </row>
    <row r="255" spans="1:1">
      <c r="A255" s="136"/>
    </row>
    <row r="256" spans="1:1">
      <c r="A256" s="136"/>
    </row>
    <row r="257" spans="1:1">
      <c r="A257" s="136"/>
    </row>
    <row r="258" spans="1:1">
      <c r="A258" s="136"/>
    </row>
    <row r="259" spans="1:1">
      <c r="A259" s="136"/>
    </row>
    <row r="260" spans="1:1">
      <c r="A260" s="136"/>
    </row>
    <row r="261" spans="1:1">
      <c r="A261" s="136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9"/>
  <sheetViews>
    <sheetView zoomScale="142" zoomScaleNormal="142" workbookViewId="0">
      <selection activeCell="E16" sqref="E16"/>
    </sheetView>
  </sheetViews>
  <sheetFormatPr defaultRowHeight="14.5"/>
  <cols>
    <col min="1" max="1" width="8.90625" style="136"/>
    <col min="2" max="2" width="54.6328125" customWidth="1"/>
    <col min="3" max="3" width="16.08984375" customWidth="1"/>
    <col min="4" max="4" width="18.453125" customWidth="1"/>
    <col min="5" max="5" width="24.36328125" customWidth="1"/>
    <col min="6" max="8" width="8.90625" style="136"/>
    <col min="9" max="9" width="45.36328125" style="136" customWidth="1"/>
    <col min="10" max="10" width="17.54296875" style="136" customWidth="1"/>
    <col min="11" max="11" width="23.54296875" style="136" customWidth="1"/>
    <col min="12" max="12" width="24.08984375" style="136" customWidth="1"/>
  </cols>
  <sheetData>
    <row r="1" spans="2:5" s="136" customFormat="1"/>
    <row r="2" spans="2:5" ht="26">
      <c r="B2" s="137"/>
      <c r="C2" s="119" t="s">
        <v>157</v>
      </c>
    </row>
    <row r="3" spans="2:5" ht="28.25" customHeight="1">
      <c r="B3" s="137"/>
    </row>
    <row r="5" spans="2:5" ht="15" thickBot="1">
      <c r="B5" s="1" t="s">
        <v>25</v>
      </c>
      <c r="C5" s="2" t="s">
        <v>0</v>
      </c>
      <c r="D5" s="3" t="s">
        <v>1</v>
      </c>
      <c r="E5" s="4" t="s">
        <v>26</v>
      </c>
    </row>
    <row r="6" spans="2:5" ht="16" thickBot="1">
      <c r="B6" s="5"/>
      <c r="C6" s="6" t="s">
        <v>2</v>
      </c>
      <c r="D6" s="6" t="s">
        <v>3</v>
      </c>
      <c r="E6" s="7" t="s">
        <v>4</v>
      </c>
    </row>
    <row r="7" spans="2:5" ht="15.5" thickTop="1" thickBot="1">
      <c r="B7" s="8" t="s">
        <v>5</v>
      </c>
      <c r="C7" s="9"/>
      <c r="D7" s="10" t="s">
        <v>0</v>
      </c>
      <c r="E7" s="11"/>
    </row>
    <row r="8" spans="2:5">
      <c r="B8" s="12" t="s">
        <v>6</v>
      </c>
      <c r="C8" s="107">
        <f>'12-Month Production and CF'!P49</f>
        <v>253495.46</v>
      </c>
      <c r="D8" s="105" t="s">
        <v>7</v>
      </c>
      <c r="E8" s="11"/>
    </row>
    <row r="9" spans="2:5">
      <c r="B9" s="12" t="s">
        <v>8</v>
      </c>
      <c r="C9" s="108" t="s">
        <v>7</v>
      </c>
      <c r="D9" s="102">
        <f>'12-Month Production and CF'!P81</f>
        <v>242361.16250000001</v>
      </c>
      <c r="E9" s="11"/>
    </row>
    <row r="10" spans="2:5">
      <c r="B10" s="12" t="s">
        <v>9</v>
      </c>
      <c r="C10" s="108" t="s">
        <v>7</v>
      </c>
      <c r="D10" s="102">
        <v>0</v>
      </c>
      <c r="E10" s="11"/>
    </row>
    <row r="11" spans="2:5">
      <c r="B11" s="12" t="s">
        <v>0</v>
      </c>
      <c r="C11" s="109"/>
      <c r="D11" s="103" t="s">
        <v>0</v>
      </c>
      <c r="E11" s="13">
        <f>C8-D9-D10</f>
        <v>11134.297499999986</v>
      </c>
    </row>
    <row r="12" spans="2:5">
      <c r="B12" s="14"/>
      <c r="C12" s="110"/>
      <c r="D12" s="103"/>
      <c r="E12" s="15"/>
    </row>
    <row r="13" spans="2:5">
      <c r="B13" s="8" t="s">
        <v>10</v>
      </c>
      <c r="C13" s="111"/>
      <c r="D13" s="103"/>
      <c r="E13" s="15"/>
    </row>
    <row r="14" spans="2:5">
      <c r="B14" s="12" t="s">
        <v>11</v>
      </c>
      <c r="C14" s="111">
        <v>0</v>
      </c>
      <c r="D14" s="102" t="s">
        <v>7</v>
      </c>
      <c r="E14" s="15"/>
    </row>
    <row r="15" spans="2:5">
      <c r="B15" s="12" t="s">
        <v>12</v>
      </c>
      <c r="C15" s="108" t="s">
        <v>7</v>
      </c>
      <c r="D15" s="103">
        <f>'Capital Investment Calculator'!D5</f>
        <v>68750</v>
      </c>
      <c r="E15" s="15"/>
    </row>
    <row r="16" spans="2:5">
      <c r="B16" s="12" t="s">
        <v>13</v>
      </c>
      <c r="C16" s="108" t="s">
        <v>7</v>
      </c>
      <c r="D16" s="103">
        <f>'Capital Investment Calculator'!D14+'Capital Investment Calculator'!H39</f>
        <v>99000</v>
      </c>
      <c r="E16" s="15"/>
    </row>
    <row r="17" spans="2:5">
      <c r="B17" s="12" t="s">
        <v>14</v>
      </c>
      <c r="C17" s="108" t="s">
        <v>7</v>
      </c>
      <c r="D17" s="103">
        <f>'Capital Investment Calculator'!I22+'Capital Investment Calculator'!I29</f>
        <v>168000</v>
      </c>
      <c r="E17" s="15"/>
    </row>
    <row r="18" spans="2:5">
      <c r="B18" s="12" t="s">
        <v>0</v>
      </c>
      <c r="C18" s="108" t="s">
        <v>0</v>
      </c>
      <c r="D18" s="103" t="s">
        <v>0</v>
      </c>
      <c r="E18" s="15">
        <f>C14-D15-D16-D17</f>
        <v>-335750</v>
      </c>
    </row>
    <row r="19" spans="2:5">
      <c r="B19" s="14"/>
      <c r="C19" s="110"/>
      <c r="D19" s="103"/>
      <c r="E19" s="15"/>
    </row>
    <row r="20" spans="2:5">
      <c r="B20" s="8" t="s">
        <v>15</v>
      </c>
      <c r="C20" s="111"/>
      <c r="D20" s="103"/>
      <c r="E20" s="15"/>
    </row>
    <row r="21" spans="2:5">
      <c r="B21" s="12" t="s">
        <v>16</v>
      </c>
      <c r="C21" s="116">
        <v>0</v>
      </c>
      <c r="D21" s="102" t="s">
        <v>7</v>
      </c>
      <c r="E21" s="15"/>
    </row>
    <row r="22" spans="2:5">
      <c r="B22" s="12" t="s">
        <v>17</v>
      </c>
      <c r="C22" s="108" t="s">
        <v>7</v>
      </c>
      <c r="D22" s="117">
        <v>0</v>
      </c>
      <c r="E22" s="15">
        <f>C21-D22</f>
        <v>0</v>
      </c>
    </row>
    <row r="23" spans="2:5">
      <c r="B23" s="12" t="s">
        <v>0</v>
      </c>
      <c r="C23" s="110"/>
      <c r="D23" s="106" t="s">
        <v>0</v>
      </c>
      <c r="E23" s="15" t="s">
        <v>0</v>
      </c>
    </row>
    <row r="24" spans="2:5">
      <c r="B24" s="14"/>
      <c r="C24" s="110"/>
      <c r="D24" s="106"/>
      <c r="E24" s="15"/>
    </row>
    <row r="25" spans="2:5">
      <c r="B25" s="8" t="s">
        <v>18</v>
      </c>
      <c r="C25" s="111"/>
      <c r="D25" s="103"/>
      <c r="E25" s="15"/>
    </row>
    <row r="26" spans="2:5">
      <c r="B26" s="12" t="s">
        <v>19</v>
      </c>
      <c r="C26" s="116">
        <v>0</v>
      </c>
      <c r="D26" s="102" t="s">
        <v>7</v>
      </c>
      <c r="E26" s="15"/>
    </row>
    <row r="27" spans="2:5">
      <c r="B27" s="12" t="s">
        <v>20</v>
      </c>
      <c r="C27" s="108" t="s">
        <v>7</v>
      </c>
      <c r="D27" s="117">
        <v>0</v>
      </c>
      <c r="E27" s="15">
        <f>C26-D27</f>
        <v>0</v>
      </c>
    </row>
    <row r="28" spans="2:5">
      <c r="B28" s="16"/>
      <c r="C28" s="112"/>
      <c r="D28" s="104"/>
      <c r="E28" s="17"/>
    </row>
    <row r="29" spans="2:5">
      <c r="B29" s="8" t="s">
        <v>21</v>
      </c>
      <c r="C29" s="111"/>
      <c r="D29" s="103"/>
      <c r="E29" s="15"/>
    </row>
    <row r="30" spans="2:5">
      <c r="B30" s="12" t="s">
        <v>22</v>
      </c>
      <c r="C30" s="118">
        <v>0</v>
      </c>
      <c r="D30" s="102" t="s">
        <v>7</v>
      </c>
      <c r="E30" s="15">
        <f>C30</f>
        <v>0</v>
      </c>
    </row>
    <row r="31" spans="2:5" ht="15" thickBot="1">
      <c r="B31" s="14"/>
      <c r="C31" s="110"/>
      <c r="D31" s="103"/>
      <c r="E31" s="15" t="s">
        <v>0</v>
      </c>
    </row>
    <row r="32" spans="2:5" ht="15" thickBot="1">
      <c r="B32" s="18" t="s">
        <v>23</v>
      </c>
      <c r="C32" s="113">
        <f>SUM(C7:C30)</f>
        <v>253495.46</v>
      </c>
      <c r="D32" s="114">
        <f>SUM(D7:D30)</f>
        <v>578111.16249999998</v>
      </c>
      <c r="E32" s="115">
        <f>C32-D32</f>
        <v>-324615.70250000001</v>
      </c>
    </row>
    <row r="33" spans="2:2">
      <c r="B33" s="19" t="s">
        <v>24</v>
      </c>
    </row>
    <row r="35" spans="2:2" s="136" customFormat="1" ht="10.75" customHeight="1"/>
    <row r="36" spans="2:2" s="136" customFormat="1"/>
    <row r="37" spans="2:2" s="136" customFormat="1"/>
    <row r="38" spans="2:2" s="136" customFormat="1"/>
    <row r="39" spans="2:2" s="136" customFormat="1"/>
  </sheetData>
  <conditionalFormatting sqref="E31">
    <cfRule type="expression" dxfId="0" priority="1">
      <formula>#REF!=0</formula>
    </cfRule>
  </conditionalFormatting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7"/>
  <sheetViews>
    <sheetView workbookViewId="0">
      <selection activeCell="E20" sqref="E20"/>
    </sheetView>
  </sheetViews>
  <sheetFormatPr defaultRowHeight="14.5"/>
  <cols>
    <col min="1" max="1" width="21.453125" customWidth="1"/>
    <col min="2" max="2" width="50.54296875" customWidth="1"/>
    <col min="3" max="3" width="11.453125" customWidth="1"/>
    <col min="7" max="7" width="16.90625" customWidth="1"/>
  </cols>
  <sheetData>
    <row r="1" spans="1:11">
      <c r="A1" t="s">
        <v>0</v>
      </c>
    </row>
    <row r="2" spans="1:11" ht="33.5">
      <c r="A2" s="101" t="s">
        <v>167</v>
      </c>
    </row>
    <row r="4" spans="1:11">
      <c r="A4" s="120" t="s">
        <v>120</v>
      </c>
      <c r="C4" t="s">
        <v>114</v>
      </c>
      <c r="G4" t="s">
        <v>118</v>
      </c>
      <c r="H4" s="128">
        <v>50</v>
      </c>
    </row>
    <row r="5" spans="1:11">
      <c r="B5" t="s">
        <v>111</v>
      </c>
      <c r="C5">
        <v>3.5</v>
      </c>
      <c r="D5" t="s">
        <v>119</v>
      </c>
      <c r="G5" t="s">
        <v>125</v>
      </c>
      <c r="H5" s="128">
        <v>10</v>
      </c>
    </row>
    <row r="6" spans="1:11">
      <c r="B6" t="s">
        <v>112</v>
      </c>
      <c r="C6">
        <v>1.5</v>
      </c>
      <c r="D6" t="s">
        <v>119</v>
      </c>
      <c r="G6" t="s">
        <v>126</v>
      </c>
      <c r="H6" s="128">
        <v>25</v>
      </c>
    </row>
    <row r="7" spans="1:11">
      <c r="A7" s="120" t="s">
        <v>121</v>
      </c>
      <c r="B7" t="s">
        <v>0</v>
      </c>
      <c r="D7" t="s">
        <v>0</v>
      </c>
    </row>
    <row r="8" spans="1:11">
      <c r="B8" t="s">
        <v>111</v>
      </c>
      <c r="C8">
        <v>2.5</v>
      </c>
      <c r="D8" t="s">
        <v>119</v>
      </c>
      <c r="H8" t="s">
        <v>0</v>
      </c>
    </row>
    <row r="9" spans="1:11">
      <c r="A9" s="120" t="s">
        <v>107</v>
      </c>
    </row>
    <row r="10" spans="1:11">
      <c r="B10" t="s">
        <v>122</v>
      </c>
      <c r="C10">
        <v>3.125E-2</v>
      </c>
      <c r="D10" t="s">
        <v>119</v>
      </c>
    </row>
    <row r="11" spans="1:11">
      <c r="B11" t="s">
        <v>124</v>
      </c>
      <c r="C11">
        <v>3</v>
      </c>
      <c r="D11" t="s">
        <v>119</v>
      </c>
      <c r="K11" t="s">
        <v>0</v>
      </c>
    </row>
    <row r="14" spans="1:11">
      <c r="A14" s="120" t="s">
        <v>115</v>
      </c>
    </row>
    <row r="15" spans="1:11">
      <c r="B15" s="21" t="s">
        <v>67</v>
      </c>
    </row>
    <row r="16" spans="1:11">
      <c r="B16" s="22" t="s">
        <v>68</v>
      </c>
      <c r="C16" s="27"/>
    </row>
    <row r="17" spans="2:14">
      <c r="B17" s="23" t="s">
        <v>127</v>
      </c>
      <c r="C17" s="27"/>
    </row>
    <row r="18" spans="2:14">
      <c r="B18" s="23" t="s">
        <v>113</v>
      </c>
      <c r="C18" s="27">
        <f>95/200</f>
        <v>0.47499999999999998</v>
      </c>
      <c r="D18" t="s">
        <v>128</v>
      </c>
      <c r="E18" t="s">
        <v>166</v>
      </c>
    </row>
    <row r="19" spans="2:14">
      <c r="B19" s="24" t="s">
        <v>110</v>
      </c>
      <c r="C19" s="27">
        <f>214/2000</f>
        <v>0.107</v>
      </c>
      <c r="D19" t="s">
        <v>123</v>
      </c>
      <c r="E19" t="s">
        <v>0</v>
      </c>
      <c r="N19" t="s">
        <v>129</v>
      </c>
    </row>
    <row r="20" spans="2:14">
      <c r="B20" s="25" t="s">
        <v>70</v>
      </c>
      <c r="C20" s="27">
        <v>0.25600000000000001</v>
      </c>
      <c r="D20" t="s">
        <v>123</v>
      </c>
      <c r="E20" t="s">
        <v>145</v>
      </c>
    </row>
    <row r="21" spans="2:14">
      <c r="B21" s="25" t="s">
        <v>117</v>
      </c>
      <c r="C21" s="27">
        <v>0.6</v>
      </c>
      <c r="D21" t="s">
        <v>123</v>
      </c>
    </row>
    <row r="22" spans="2:14">
      <c r="B22" s="23" t="s">
        <v>27</v>
      </c>
      <c r="C22" s="27">
        <f>200/500</f>
        <v>0.4</v>
      </c>
      <c r="D22" t="s">
        <v>136</v>
      </c>
      <c r="E22" t="s">
        <v>130</v>
      </c>
    </row>
    <row r="23" spans="2:14">
      <c r="B23" s="24" t="s">
        <v>71</v>
      </c>
      <c r="C23" s="27">
        <f>850/400</f>
        <v>2.125</v>
      </c>
      <c r="D23" t="s">
        <v>136</v>
      </c>
      <c r="E23" t="s">
        <v>131</v>
      </c>
    </row>
    <row r="24" spans="2:14">
      <c r="B24" s="23" t="s">
        <v>72</v>
      </c>
      <c r="C24" s="27">
        <f>(4000/12)/400</f>
        <v>0.83333333333333326</v>
      </c>
      <c r="D24" t="s">
        <v>136</v>
      </c>
      <c r="E24" t="s">
        <v>132</v>
      </c>
    </row>
    <row r="25" spans="2:14">
      <c r="B25" s="20" t="s">
        <v>73</v>
      </c>
      <c r="C25" s="27">
        <f>(6000/12)/400</f>
        <v>1.25</v>
      </c>
      <c r="D25" t="s">
        <v>136</v>
      </c>
      <c r="E25" t="s">
        <v>133</v>
      </c>
    </row>
    <row r="26" spans="2:14">
      <c r="B26" s="20" t="s">
        <v>74</v>
      </c>
      <c r="C26" s="27">
        <f>(2000/12)/400</f>
        <v>0.41666666666666663</v>
      </c>
      <c r="D26" t="s">
        <v>136</v>
      </c>
    </row>
    <row r="27" spans="2:14">
      <c r="B27" s="20" t="s">
        <v>75</v>
      </c>
      <c r="C27" s="27">
        <f>(5000/12)/400</f>
        <v>1.0416666666666667</v>
      </c>
      <c r="D27" t="s">
        <v>136</v>
      </c>
    </row>
    <row r="28" spans="2:14">
      <c r="B28" s="20" t="s">
        <v>76</v>
      </c>
      <c r="C28" s="27">
        <f>(4000/12)/400</f>
        <v>0.83333333333333326</v>
      </c>
      <c r="D28" t="s">
        <v>136</v>
      </c>
    </row>
    <row r="29" spans="2:14">
      <c r="B29" s="20" t="s">
        <v>134</v>
      </c>
      <c r="C29" s="27" t="s">
        <v>0</v>
      </c>
      <c r="D29" t="s">
        <v>0</v>
      </c>
    </row>
    <row r="30" spans="2:14">
      <c r="B30" s="20" t="s">
        <v>135</v>
      </c>
      <c r="C30" s="27" t="s">
        <v>0</v>
      </c>
      <c r="D30" t="s">
        <v>0</v>
      </c>
    </row>
    <row r="31" spans="2:14">
      <c r="B31" s="25" t="s">
        <v>162</v>
      </c>
      <c r="C31" s="27">
        <f>4514/500</f>
        <v>9.0280000000000005</v>
      </c>
      <c r="D31" t="s">
        <v>136</v>
      </c>
      <c r="E31" s="127" t="s">
        <v>165</v>
      </c>
    </row>
    <row r="32" spans="2:14">
      <c r="B32" s="26" t="s">
        <v>79</v>
      </c>
      <c r="C32" s="27"/>
      <c r="D32" t="s">
        <v>0</v>
      </c>
      <c r="E32" t="s">
        <v>163</v>
      </c>
    </row>
    <row r="35" spans="3:10">
      <c r="C35" s="150" t="s">
        <v>164</v>
      </c>
      <c r="D35" s="151"/>
      <c r="E35" s="151"/>
      <c r="F35" s="151"/>
      <c r="G35" s="151"/>
      <c r="H35" s="151"/>
      <c r="I35" s="151"/>
      <c r="J35" s="151"/>
    </row>
    <row r="36" spans="3:10">
      <c r="C36" s="151"/>
      <c r="D36" s="151"/>
      <c r="E36" s="151"/>
      <c r="F36" s="151"/>
      <c r="G36" s="151"/>
      <c r="H36" s="151"/>
      <c r="I36" s="151"/>
      <c r="J36" s="151"/>
    </row>
    <row r="37" spans="3:10">
      <c r="C37" s="151"/>
      <c r="D37" s="151"/>
      <c r="E37" s="151"/>
      <c r="F37" s="151"/>
      <c r="G37" s="151"/>
      <c r="H37" s="151"/>
      <c r="I37" s="151"/>
      <c r="J37" s="151"/>
    </row>
  </sheetData>
  <mergeCells count="1">
    <mergeCell ref="C35:J37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Directions</vt:lpstr>
      <vt:lpstr>12-Month Production and CF</vt:lpstr>
      <vt:lpstr>Capital Investment Calculator</vt:lpstr>
      <vt:lpstr>Changes to Cash Flow Statement </vt:lpstr>
      <vt:lpstr>Assumptions</vt:lpstr>
    </vt:vector>
  </TitlesOfParts>
  <Company>University of Vermont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ZSmith4</dc:creator>
  <cp:lastModifiedBy>Zachary Smith</cp:lastModifiedBy>
  <dcterms:created xsi:type="dcterms:W3CDTF">2023-01-04T20:52:26Z</dcterms:created>
  <dcterms:modified xsi:type="dcterms:W3CDTF">2024-01-17T21:46:22Z</dcterms:modified>
</cp:coreProperties>
</file>