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8_{9076EEF8-0B18-4035-8C4B-06E344555D2D}" xr6:coauthVersionLast="46" xr6:coauthVersionMax="46" xr10:uidLastSave="{00000000-0000-0000-0000-000000000000}"/>
  <bookViews>
    <workbookView xWindow="7212" yWindow="7248" windowWidth="31320" windowHeight="18072" xr2:uid="{00000000-000D-0000-FFFF-FFFF00000000}"/>
  </bookViews>
  <sheets>
    <sheet name="Sheet1" sheetId="1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B7" i="1" s="1"/>
  <c r="E8" i="1" s="1"/>
  <c r="I8" i="1" l="1"/>
  <c r="I3" i="1"/>
  <c r="B10" i="1"/>
  <c r="B19" i="1" l="1"/>
  <c r="I40" i="1" s="1"/>
  <c r="I7" i="1"/>
  <c r="M3" i="1" s="1"/>
  <c r="I9" i="1"/>
  <c r="B13" i="1"/>
  <c r="I24" i="1" s="1"/>
  <c r="I15" i="1"/>
  <c r="B16" i="1"/>
  <c r="I32" i="1" s="1"/>
  <c r="E21" i="1"/>
  <c r="E24" i="1" s="1"/>
  <c r="I23" i="1" l="1"/>
  <c r="I39" i="1"/>
  <c r="E10" i="1"/>
  <c r="I16" i="1"/>
  <c r="M11" i="1" s="1"/>
  <c r="E14" i="1"/>
  <c r="I31" i="1"/>
  <c r="E16" i="1"/>
  <c r="K3" i="1"/>
  <c r="E18" i="1"/>
  <c r="E12" i="1"/>
  <c r="I33" i="1" l="1"/>
  <c r="M27" i="1" s="1"/>
  <c r="I17" i="1"/>
  <c r="K11" i="1" s="1"/>
  <c r="E32" i="1" s="1"/>
  <c r="E20" i="1"/>
  <c r="E23" i="1" s="1"/>
  <c r="E27" i="1" s="1"/>
  <c r="E31" i="1"/>
  <c r="I41" i="1"/>
  <c r="K35" i="1" s="1"/>
  <c r="E35" i="1" s="1"/>
  <c r="I25" i="1"/>
  <c r="K19" i="1" s="1"/>
  <c r="E33" i="1" s="1"/>
  <c r="K27" i="1" l="1"/>
  <c r="E34" i="1" s="1"/>
  <c r="E36" i="1" s="1"/>
  <c r="M35" i="1"/>
  <c r="M19" i="1"/>
  <c r="E29" i="1" l="1"/>
  <c r="E40" i="1"/>
</calcChain>
</file>

<file path=xl/sharedStrings.xml><?xml version="1.0" encoding="utf-8"?>
<sst xmlns="http://schemas.openxmlformats.org/spreadsheetml/2006/main" count="117" uniqueCount="93">
  <si>
    <t>Saffron Enterprise Budget for Revenue from 1/4 Acre</t>
  </si>
  <si>
    <t>Change the numbers in the yellow cells to reflect your situation</t>
  </si>
  <si>
    <t>Costs Year 1</t>
  </si>
  <si>
    <t>Step 1</t>
  </si>
  <si>
    <t>Saffron corms /0.25 Acre Yr1:</t>
  </si>
  <si>
    <t>Total cost Year 1:</t>
  </si>
  <si>
    <t>Labor cost:</t>
  </si>
  <si>
    <t>Corms planted/sq.ft</t>
  </si>
  <si>
    <t>Step 3</t>
  </si>
  <si>
    <t>$ Saffron/gr:</t>
  </si>
  <si>
    <t xml:space="preserve">Compost + Fertilizer + limestone (target pH of 6.8)/0.25 Acre Yr1: </t>
  </si>
  <si>
    <t>$/0.25 Acre</t>
  </si>
  <si>
    <t>Total corms to plant on 0.25 Acre</t>
  </si>
  <si>
    <t>Step 4</t>
  </si>
  <si>
    <t>Preparing beds &amp; Planting /0.25 Acre Yr1:</t>
  </si>
  <si>
    <t>$ 0.02- 0.10 /sq.ft</t>
  </si>
  <si>
    <t xml:space="preserve">Weeding and pest monitoring /0.25 Acre Yr1: </t>
  </si>
  <si>
    <t>$ 0.09 /sq.ft</t>
  </si>
  <si>
    <t xml:space="preserve">Number of flowers/ 0.25 Acre Yr1: </t>
  </si>
  <si>
    <t xml:space="preserve">Harvesting /0.25 Acre Yr1: </t>
  </si>
  <si>
    <t>17 min/177 flowers</t>
  </si>
  <si>
    <t xml:space="preserve">Average weight of stigmas/ flower Yr1 : </t>
  </si>
  <si>
    <t>Saffron Yield grams/0.25 Acre Yr1:</t>
  </si>
  <si>
    <t xml:space="preserve">Separating /0.25 Acre Yr1 : </t>
  </si>
  <si>
    <t>34 min/177 flowers</t>
  </si>
  <si>
    <t xml:space="preserve">Marketing + labeling + containers /0.25 Acre Yr1 : </t>
  </si>
  <si>
    <t xml:space="preserve">Number of flowers/ 0.25 Acre Yr2: </t>
  </si>
  <si>
    <t>Saffron Yield grams/0.25 Acre Yr2:</t>
  </si>
  <si>
    <t>Costs Year 2</t>
  </si>
  <si>
    <t xml:space="preserve">Average weight of stigmas / flowers Yr2 : </t>
  </si>
  <si>
    <t>Saffron corms /0.25 Acre Yr2:</t>
  </si>
  <si>
    <t>Saffron Yield grams/0.25 Acre Yr3:</t>
  </si>
  <si>
    <t xml:space="preserve">Compost + Fertilizer /0.25 Acre Yr2: </t>
  </si>
  <si>
    <t>$ /0.25 Acre</t>
  </si>
  <si>
    <t xml:space="preserve">Number of flowers/ 0.25 Acre Yr3: </t>
  </si>
  <si>
    <t>Preparing beds &amp; Planting / 0.25 Acre Yr 2:</t>
  </si>
  <si>
    <t xml:space="preserve">Average weight of stigmas / flowers Yr3 : </t>
  </si>
  <si>
    <t>Saffron Yield grams/0.25 Acre Yr4:</t>
  </si>
  <si>
    <t xml:space="preserve">Weeding and pest monitoring /0.25 Acre Yr2: </t>
  </si>
  <si>
    <t xml:space="preserve">Harvesting /0.25 Acre Yr2: </t>
  </si>
  <si>
    <t xml:space="preserve">Number of flowers/ 0.25 Acre Yr4: </t>
  </si>
  <si>
    <t>Saffron Yield grams/0.25 Acre Yr5:</t>
  </si>
  <si>
    <t xml:space="preserve">Separating /0.25 Acre Yr2 : </t>
  </si>
  <si>
    <t xml:space="preserve">Average weight of stigmas / flowers Yr4 : </t>
  </si>
  <si>
    <t xml:space="preserve">Marketing + Labeling + Containers /0.25 Acre Yr2 : </t>
  </si>
  <si>
    <t>Corm Yield /0.25 Acre Yr3:</t>
  </si>
  <si>
    <t>Costs Year 3</t>
  </si>
  <si>
    <t xml:space="preserve">Number of flowers/ 0.25 Acre Yr5: </t>
  </si>
  <si>
    <t>Saffron corms /0.25 Acre Yr3:</t>
  </si>
  <si>
    <t xml:space="preserve">Average weight of stigmas / flowers Yr5 : </t>
  </si>
  <si>
    <t>Total Saffron Yield (Yr1 ... +Yr5) /0.25 Acre:</t>
  </si>
  <si>
    <t xml:space="preserve">Compost + Fertilizer /0.25 Acre Yr3: </t>
  </si>
  <si>
    <t>33 cu.yd /0.25 Acre</t>
  </si>
  <si>
    <t>Total Corm Yield (Yr1 ... +Yr5) grams/0.25 Acre:</t>
  </si>
  <si>
    <t xml:space="preserve">Preparing beds &amp; Planting /0.25 Acre Yr3: </t>
  </si>
  <si>
    <t>Step 2</t>
  </si>
  <si>
    <t xml:space="preserve">Weeding and pest monitoring  /0.25 Acre Yr3: </t>
  </si>
  <si>
    <t>Saleable corms /mother corm after 5 years</t>
  </si>
  <si>
    <t>Total $ saffron (Yr1 ... +Yr5) /0.25 Acre:</t>
  </si>
  <si>
    <t xml:space="preserve">Harvesting /0.25 Acre Yr3: </t>
  </si>
  <si>
    <t>Total $ Corm (Yr1... +Yr5)/0.25 Acre:</t>
  </si>
  <si>
    <t xml:space="preserve">Separating /0.25 Acre Yr3 : </t>
  </si>
  <si>
    <t xml:space="preserve">Marketing + Labeling + Containers /0.25 Acre Yr3 : </t>
  </si>
  <si>
    <t>Costs Year 4</t>
  </si>
  <si>
    <t>Gross Income(Yr1 ... +Yr5):</t>
  </si>
  <si>
    <t>Saffron corms /0.25 Acre Yr4:</t>
  </si>
  <si>
    <t xml:space="preserve">Compost + Fertilizer /0.25 Acre Yr4: </t>
  </si>
  <si>
    <t>Total Costs  (Yr1 ... +Yr5):</t>
  </si>
  <si>
    <t xml:space="preserve">Preparing beds &amp; Planting /0.25 Acre Yr4: </t>
  </si>
  <si>
    <t>$ 0.02 - 0.10 /sq.ft</t>
  </si>
  <si>
    <t xml:space="preserve">Weeding and pest monitoring /0.25 Acre Yr4: </t>
  </si>
  <si>
    <t>Net revenue (Yr1)</t>
  </si>
  <si>
    <t xml:space="preserve">Harvesting /0.25 Acre Yr4: </t>
  </si>
  <si>
    <t>Net revenue (Yr2)</t>
  </si>
  <si>
    <t xml:space="preserve">Separating /0.25 Acre Yr4 : </t>
  </si>
  <si>
    <t>Net revenue (Yr3)</t>
  </si>
  <si>
    <t>Marketing + Labeling + Containers /0.25 Acre Yr4 :</t>
  </si>
  <si>
    <t>Net revenue (Yr4)</t>
  </si>
  <si>
    <t>Costs Year 5</t>
  </si>
  <si>
    <t>Net revenue (Yr5)</t>
  </si>
  <si>
    <t>Saffron corms /0.25 Acre Yr5:</t>
  </si>
  <si>
    <t>Total cost Yr1:</t>
  </si>
  <si>
    <t>Total net revenue (Yr 1 ... +Yr 5)</t>
  </si>
  <si>
    <t xml:space="preserve">Compost + Fertilizer/0.25 Acre Yr5: </t>
  </si>
  <si>
    <t xml:space="preserve">Preparing beds &amp; Planting /0.25 Acre Yr5: </t>
  </si>
  <si>
    <t>$ 0.02- 0.10/sq.ft</t>
  </si>
  <si>
    <t xml:space="preserve">Weeding and pest monitoring /0.25 Acre Yr5: </t>
  </si>
  <si>
    <t xml:space="preserve">Harvesting /0.25 Acre Yr5: </t>
  </si>
  <si>
    <t>Total labor costs (Yr1 ... +Yr5):</t>
  </si>
  <si>
    <t xml:space="preserve">Separating /0.25 Acre Yr5 : </t>
  </si>
  <si>
    <t>Updated by Christian Groff, Janeice Mena, Sierra Holden, and Everett Tillett</t>
  </si>
  <si>
    <t>Developed by the North American Center for Saffron Research and Development, April, 2020</t>
  </si>
  <si>
    <t>$ A corm: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</si>
</sst>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rgb="FF00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0" xfId="0" applyFont="1"/>
    <xf numFmtId="0" fontId="0" fillId="3" borderId="0" xfId="0" applyFont="1" applyFill="1" applyBorder="1"/>
    <xf numFmtId="0" fontId="1" fillId="3" borderId="0" xfId="0" applyFont="1" applyFill="1" applyBorder="1"/>
    <xf numFmtId="0" fontId="0" fillId="3" borderId="0" xfId="0" applyFont="1" applyFill="1" applyBorder="1" applyAlignment="1">
      <alignment horizontal="left"/>
    </xf>
    <xf numFmtId="0" fontId="0" fillId="3" borderId="1" xfId="0" applyFont="1" applyFill="1" applyBorder="1"/>
    <xf numFmtId="0" fontId="2" fillId="10" borderId="13" xfId="0" applyFont="1" applyFill="1" applyBorder="1" applyAlignment="1">
      <alignment horizontal="center" vertical="center"/>
    </xf>
    <xf numFmtId="0" fontId="2" fillId="10" borderId="13" xfId="0" applyFont="1" applyFill="1" applyBorder="1"/>
    <xf numFmtId="164" fontId="2" fillId="9" borderId="4" xfId="0" applyNumberFormat="1" applyFont="1" applyFill="1" applyBorder="1" applyAlignment="1">
      <alignment horizontal="center"/>
    </xf>
    <xf numFmtId="3" fontId="2" fillId="9" borderId="4" xfId="0" applyNumberFormat="1" applyFont="1" applyFill="1" applyBorder="1" applyAlignment="1">
      <alignment horizontal="center" vertical="center"/>
    </xf>
    <xf numFmtId="3" fontId="2" fillId="9" borderId="2" xfId="0" applyNumberFormat="1" applyFont="1" applyFill="1" applyBorder="1" applyAlignment="1">
      <alignment horizontal="center" vertical="center"/>
    </xf>
    <xf numFmtId="0" fontId="5" fillId="0" borderId="4" xfId="0" applyFont="1" applyFill="1" applyBorder="1"/>
    <xf numFmtId="0" fontId="6" fillId="3" borderId="0" xfId="0" applyFont="1" applyFill="1" applyBorder="1"/>
    <xf numFmtId="0" fontId="3" fillId="0" borderId="13" xfId="0" applyFont="1" applyFill="1" applyBorder="1"/>
    <xf numFmtId="0" fontId="6" fillId="3" borderId="0" xfId="0" applyFont="1" applyFill="1" applyBorder="1" applyAlignment="1">
      <alignment horizontal="center"/>
    </xf>
    <xf numFmtId="0" fontId="3" fillId="3" borderId="0" xfId="0" applyFont="1" applyFill="1" applyBorder="1"/>
    <xf numFmtId="3" fontId="3" fillId="3" borderId="0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left"/>
    </xf>
    <xf numFmtId="0" fontId="3" fillId="10" borderId="14" xfId="0" applyFont="1" applyFill="1" applyBorder="1"/>
    <xf numFmtId="0" fontId="3" fillId="10" borderId="13" xfId="0" applyFont="1" applyFill="1" applyBorder="1"/>
    <xf numFmtId="3" fontId="3" fillId="10" borderId="13" xfId="0" applyNumberFormat="1" applyFont="1" applyFill="1" applyBorder="1"/>
    <xf numFmtId="0" fontId="3" fillId="10" borderId="2" xfId="0" applyFont="1" applyFill="1" applyBorder="1"/>
    <xf numFmtId="3" fontId="3" fillId="0" borderId="4" xfId="0" applyNumberFormat="1" applyFont="1" applyFill="1" applyBorder="1" applyAlignment="1">
      <alignment horizontal="center"/>
    </xf>
    <xf numFmtId="3" fontId="3" fillId="4" borderId="4" xfId="0" applyNumberFormat="1" applyFont="1" applyFill="1" applyBorder="1" applyAlignment="1">
      <alignment horizontal="center"/>
    </xf>
    <xf numFmtId="0" fontId="3" fillId="4" borderId="13" xfId="0" applyFont="1" applyFill="1" applyBorder="1"/>
    <xf numFmtId="0" fontId="4" fillId="8" borderId="13" xfId="0" applyFont="1" applyFill="1" applyBorder="1" applyAlignment="1">
      <alignment horizontal="center"/>
    </xf>
    <xf numFmtId="3" fontId="3" fillId="8" borderId="13" xfId="0" applyNumberFormat="1" applyFont="1" applyFill="1" applyBorder="1"/>
    <xf numFmtId="0" fontId="3" fillId="8" borderId="4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5" xfId="0" applyFont="1" applyFill="1" applyBorder="1"/>
    <xf numFmtId="0" fontId="6" fillId="3" borderId="0" xfId="0" applyFont="1" applyFill="1" applyBorder="1" applyAlignment="1">
      <alignment horizontal="left"/>
    </xf>
    <xf numFmtId="0" fontId="5" fillId="8" borderId="4" xfId="0" applyFont="1" applyFill="1" applyBorder="1" applyAlignment="1">
      <alignment horizontal="left"/>
    </xf>
    <xf numFmtId="0" fontId="5" fillId="8" borderId="2" xfId="0" applyFont="1" applyFill="1" applyBorder="1" applyAlignment="1">
      <alignment horizontal="left"/>
    </xf>
    <xf numFmtId="3" fontId="3" fillId="10" borderId="13" xfId="0" applyNumberFormat="1" applyFont="1" applyFill="1" applyBorder="1" applyAlignment="1">
      <alignment horizontal="center"/>
    </xf>
    <xf numFmtId="3" fontId="3" fillId="10" borderId="2" xfId="0" applyNumberFormat="1" applyFont="1" applyFill="1" applyBorder="1" applyAlignment="1">
      <alignment horizontal="center"/>
    </xf>
    <xf numFmtId="3" fontId="3" fillId="10" borderId="2" xfId="0" applyNumberFormat="1" applyFont="1" applyFill="1" applyBorder="1"/>
    <xf numFmtId="0" fontId="0" fillId="7" borderId="0" xfId="0" applyFont="1" applyFill="1" applyBorder="1" applyAlignment="1">
      <alignment horizontal="center"/>
    </xf>
    <xf numFmtId="0" fontId="0" fillId="7" borderId="0" xfId="0" applyFont="1" applyFill="1" applyBorder="1" applyAlignment="1">
      <alignment horizontal="left"/>
    </xf>
    <xf numFmtId="0" fontId="5" fillId="3" borderId="0" xfId="0" applyFont="1" applyFill="1" applyBorder="1"/>
    <xf numFmtId="3" fontId="0" fillId="7" borderId="12" xfId="0" applyNumberFormat="1" applyFont="1" applyFill="1" applyBorder="1" applyAlignment="1">
      <alignment horizontal="left"/>
    </xf>
    <xf numFmtId="3" fontId="6" fillId="3" borderId="0" xfId="0" applyNumberFormat="1" applyFont="1" applyFill="1" applyBorder="1"/>
    <xf numFmtId="3" fontId="3" fillId="8" borderId="10" xfId="0" applyNumberFormat="1" applyFont="1" applyFill="1" applyBorder="1"/>
    <xf numFmtId="0" fontId="3" fillId="10" borderId="3" xfId="0" applyFont="1" applyFill="1" applyBorder="1"/>
    <xf numFmtId="3" fontId="3" fillId="6" borderId="4" xfId="0" applyNumberFormat="1" applyFont="1" applyFill="1" applyBorder="1"/>
    <xf numFmtId="0" fontId="3" fillId="2" borderId="15" xfId="0" applyFont="1" applyFill="1" applyBorder="1"/>
    <xf numFmtId="3" fontId="6" fillId="11" borderId="0" xfId="0" applyNumberFormat="1" applyFont="1" applyFill="1" applyBorder="1" applyAlignment="1">
      <alignment horizontal="left"/>
    </xf>
    <xf numFmtId="0" fontId="0" fillId="0" borderId="17" xfId="0" applyFont="1" applyBorder="1"/>
    <xf numFmtId="0" fontId="3" fillId="5" borderId="25" xfId="0" applyFont="1" applyFill="1" applyBorder="1" applyAlignment="1">
      <alignment horizontal="center"/>
    </xf>
    <xf numFmtId="0" fontId="3" fillId="5" borderId="29" xfId="0" applyFont="1" applyFill="1" applyBorder="1" applyAlignment="1">
      <alignment horizontal="center"/>
    </xf>
    <xf numFmtId="0" fontId="3" fillId="5" borderId="30" xfId="0" applyFont="1" applyFill="1" applyBorder="1" applyAlignment="1">
      <alignment horizontal="center"/>
    </xf>
    <xf numFmtId="0" fontId="5" fillId="3" borderId="35" xfId="0" applyFont="1" applyFill="1" applyBorder="1"/>
    <xf numFmtId="0" fontId="0" fillId="11" borderId="34" xfId="0" applyFont="1" applyFill="1" applyBorder="1"/>
    <xf numFmtId="0" fontId="0" fillId="11" borderId="0" xfId="0" applyFont="1" applyFill="1" applyBorder="1"/>
    <xf numFmtId="0" fontId="0" fillId="11" borderId="35" xfId="0" applyFont="1" applyFill="1" applyBorder="1"/>
    <xf numFmtId="0" fontId="6" fillId="3" borderId="35" xfId="0" applyFont="1" applyFill="1" applyBorder="1"/>
    <xf numFmtId="0" fontId="0" fillId="3" borderId="34" xfId="0" applyFont="1" applyFill="1" applyBorder="1" applyAlignment="1">
      <alignment horizontal="left"/>
    </xf>
    <xf numFmtId="0" fontId="0" fillId="3" borderId="35" xfId="0" applyFont="1" applyFill="1" applyBorder="1" applyAlignment="1">
      <alignment horizontal="left"/>
    </xf>
    <xf numFmtId="0" fontId="0" fillId="11" borderId="0" xfId="0" applyFill="1" applyBorder="1"/>
    <xf numFmtId="0" fontId="3" fillId="2" borderId="11" xfId="0" applyFont="1" applyFill="1" applyBorder="1"/>
    <xf numFmtId="0" fontId="3" fillId="2" borderId="10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7" fillId="8" borderId="31" xfId="0" applyFont="1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0" fontId="0" fillId="8" borderId="32" xfId="0" applyFont="1" applyFill="1" applyBorder="1" applyAlignment="1">
      <alignment horizontal="center"/>
    </xf>
    <xf numFmtId="0" fontId="4" fillId="8" borderId="43" xfId="0" applyFont="1" applyFill="1" applyBorder="1" applyAlignment="1">
      <alignment horizontal="center"/>
    </xf>
    <xf numFmtId="3" fontId="3" fillId="10" borderId="44" xfId="0" applyNumberFormat="1" applyFont="1" applyFill="1" applyBorder="1"/>
    <xf numFmtId="0" fontId="3" fillId="10" borderId="45" xfId="0" applyFont="1" applyFill="1" applyBorder="1"/>
    <xf numFmtId="0" fontId="3" fillId="10" borderId="42" xfId="0" applyFont="1" applyFill="1" applyBorder="1"/>
    <xf numFmtId="0" fontId="3" fillId="3" borderId="46" xfId="0" applyFont="1" applyFill="1" applyBorder="1"/>
    <xf numFmtId="0" fontId="3" fillId="3" borderId="34" xfId="0" applyFont="1" applyFill="1" applyBorder="1"/>
    <xf numFmtId="0" fontId="3" fillId="10" borderId="43" xfId="0" applyFont="1" applyFill="1" applyBorder="1"/>
    <xf numFmtId="0" fontId="7" fillId="8" borderId="47" xfId="0" applyFont="1" applyFill="1" applyBorder="1" applyAlignment="1">
      <alignment horizontal="center"/>
    </xf>
    <xf numFmtId="0" fontId="5" fillId="8" borderId="48" xfId="0" applyFont="1" applyFill="1" applyBorder="1" applyAlignment="1">
      <alignment horizontal="center"/>
    </xf>
    <xf numFmtId="0" fontId="0" fillId="8" borderId="49" xfId="0" applyFont="1" applyFill="1" applyBorder="1" applyAlignment="1">
      <alignment horizontal="center"/>
    </xf>
    <xf numFmtId="0" fontId="6" fillId="8" borderId="50" xfId="0" applyFont="1" applyFill="1" applyBorder="1"/>
    <xf numFmtId="0" fontId="4" fillId="8" borderId="42" xfId="0" applyFont="1" applyFill="1" applyBorder="1" applyAlignment="1">
      <alignment horizontal="center"/>
    </xf>
    <xf numFmtId="3" fontId="3" fillId="8" borderId="9" xfId="0" applyNumberFormat="1" applyFont="1" applyFill="1" applyBorder="1"/>
    <xf numFmtId="3" fontId="3" fillId="8" borderId="16" xfId="0" applyNumberFormat="1" applyFont="1" applyFill="1" applyBorder="1"/>
    <xf numFmtId="3" fontId="3" fillId="8" borderId="11" xfId="0" applyNumberFormat="1" applyFont="1" applyFill="1" applyBorder="1"/>
    <xf numFmtId="3" fontId="3" fillId="8" borderId="51" xfId="0" applyNumberFormat="1" applyFont="1" applyFill="1" applyBorder="1"/>
    <xf numFmtId="0" fontId="0" fillId="12" borderId="30" xfId="0" applyFont="1" applyFill="1" applyBorder="1"/>
    <xf numFmtId="3" fontId="6" fillId="3" borderId="0" xfId="0" applyNumberFormat="1" applyFont="1" applyFill="1" applyBorder="1" applyAlignment="1">
      <alignment horizontal="left"/>
    </xf>
    <xf numFmtId="3" fontId="3" fillId="8" borderId="23" xfId="0" applyNumberFormat="1" applyFont="1" applyFill="1" applyBorder="1"/>
    <xf numFmtId="3" fontId="3" fillId="8" borderId="39" xfId="0" applyNumberFormat="1" applyFont="1" applyFill="1" applyBorder="1"/>
    <xf numFmtId="3" fontId="3" fillId="8" borderId="21" xfId="0" applyNumberFormat="1" applyFont="1" applyFill="1" applyBorder="1"/>
    <xf numFmtId="3" fontId="3" fillId="8" borderId="55" xfId="0" applyNumberFormat="1" applyFont="1" applyFill="1" applyBorder="1"/>
    <xf numFmtId="0" fontId="9" fillId="13" borderId="26" xfId="0" applyFont="1" applyFill="1" applyBorder="1" applyAlignment="1">
      <alignment wrapText="1"/>
    </xf>
    <xf numFmtId="4" fontId="5" fillId="10" borderId="20" xfId="0" applyNumberFormat="1" applyFont="1" applyFill="1" applyBorder="1" applyAlignment="1">
      <alignment horizontal="center"/>
    </xf>
    <xf numFmtId="0" fontId="5" fillId="10" borderId="54" xfId="0" applyFont="1" applyFill="1" applyBorder="1" applyAlignment="1">
      <alignment horizontal="left"/>
    </xf>
    <xf numFmtId="0" fontId="3" fillId="8" borderId="18" xfId="0" applyFont="1" applyFill="1" applyBorder="1"/>
    <xf numFmtId="0" fontId="1" fillId="8" borderId="19" xfId="0" applyFont="1" applyFill="1" applyBorder="1"/>
    <xf numFmtId="0" fontId="0" fillId="8" borderId="19" xfId="0" applyFont="1" applyFill="1" applyBorder="1"/>
    <xf numFmtId="0" fontId="0" fillId="8" borderId="20" xfId="0" applyFont="1" applyFill="1" applyBorder="1"/>
    <xf numFmtId="0" fontId="0" fillId="8" borderId="32" xfId="0" applyFill="1" applyBorder="1"/>
    <xf numFmtId="0" fontId="0" fillId="3" borderId="37" xfId="0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3" borderId="36" xfId="0" applyFill="1" applyBorder="1" applyAlignment="1">
      <alignment horizontal="left"/>
    </xf>
    <xf numFmtId="0" fontId="0" fillId="3" borderId="37" xfId="0" applyFill="1" applyBorder="1"/>
    <xf numFmtId="0" fontId="0" fillId="11" borderId="37" xfId="0" applyFont="1" applyFill="1" applyBorder="1"/>
    <xf numFmtId="0" fontId="0" fillId="11" borderId="37" xfId="0" applyFill="1" applyBorder="1"/>
    <xf numFmtId="0" fontId="0" fillId="11" borderId="38" xfId="0" applyFill="1" applyBorder="1"/>
    <xf numFmtId="3" fontId="6" fillId="11" borderId="0" xfId="0" applyNumberFormat="1" applyFont="1" applyFill="1" applyBorder="1"/>
    <xf numFmtId="0" fontId="5" fillId="11" borderId="0" xfId="0" applyFont="1" applyFill="1" applyBorder="1"/>
    <xf numFmtId="0" fontId="3" fillId="6" borderId="18" xfId="0" applyFont="1" applyFill="1" applyBorder="1"/>
    <xf numFmtId="0" fontId="3" fillId="5" borderId="57" xfId="0" applyFont="1" applyFill="1" applyBorder="1" applyAlignment="1">
      <alignment horizontal="center"/>
    </xf>
    <xf numFmtId="0" fontId="3" fillId="6" borderId="18" xfId="0" applyFont="1" applyFill="1" applyBorder="1" applyAlignment="1">
      <alignment horizontal="left" vertical="center"/>
    </xf>
    <xf numFmtId="3" fontId="3" fillId="8" borderId="58" xfId="0" applyNumberFormat="1" applyFont="1" applyFill="1" applyBorder="1"/>
    <xf numFmtId="0" fontId="5" fillId="11" borderId="35" xfId="0" applyFont="1" applyFill="1" applyBorder="1"/>
    <xf numFmtId="3" fontId="3" fillId="8" borderId="59" xfId="0" applyNumberFormat="1" applyFont="1" applyFill="1" applyBorder="1"/>
    <xf numFmtId="0" fontId="3" fillId="10" borderId="18" xfId="0" applyFont="1" applyFill="1" applyBorder="1"/>
    <xf numFmtId="164" fontId="3" fillId="10" borderId="20" xfId="0" applyNumberFormat="1" applyFont="1" applyFill="1" applyBorder="1"/>
    <xf numFmtId="3" fontId="3" fillId="6" borderId="19" xfId="0" applyNumberFormat="1" applyFont="1" applyFill="1" applyBorder="1"/>
    <xf numFmtId="3" fontId="3" fillId="10" borderId="20" xfId="0" applyNumberFormat="1" applyFont="1" applyFill="1" applyBorder="1"/>
    <xf numFmtId="3" fontId="3" fillId="6" borderId="19" xfId="0" applyNumberFormat="1" applyFont="1" applyFill="1" applyBorder="1" applyAlignment="1">
      <alignment horizontal="right" vertical="center"/>
    </xf>
    <xf numFmtId="0" fontId="3" fillId="2" borderId="52" xfId="0" applyFont="1" applyFill="1" applyBorder="1"/>
    <xf numFmtId="0" fontId="3" fillId="2" borderId="53" xfId="0" applyFont="1" applyFill="1" applyBorder="1"/>
    <xf numFmtId="0" fontId="3" fillId="2" borderId="27" xfId="0" applyFont="1" applyFill="1" applyBorder="1"/>
    <xf numFmtId="0" fontId="3" fillId="2" borderId="29" xfId="0" applyFont="1" applyFill="1" applyBorder="1"/>
    <xf numFmtId="3" fontId="3" fillId="8" borderId="60" xfId="0" applyNumberFormat="1" applyFont="1" applyFill="1" applyBorder="1"/>
    <xf numFmtId="3" fontId="3" fillId="8" borderId="61" xfId="0" applyNumberFormat="1" applyFont="1" applyFill="1" applyBorder="1"/>
    <xf numFmtId="0" fontId="3" fillId="5" borderId="56" xfId="0" applyFont="1" applyFill="1" applyBorder="1" applyAlignment="1">
      <alignment horizontal="center"/>
    </xf>
    <xf numFmtId="0" fontId="3" fillId="6" borderId="31" xfId="0" applyFont="1" applyFill="1" applyBorder="1"/>
    <xf numFmtId="0" fontId="3" fillId="2" borderId="40" xfId="0" applyFont="1" applyFill="1" applyBorder="1"/>
    <xf numFmtId="0" fontId="3" fillId="6" borderId="12" xfId="0" applyFont="1" applyFill="1" applyBorder="1"/>
    <xf numFmtId="3" fontId="3" fillId="8" borderId="28" xfId="0" applyNumberFormat="1" applyFont="1" applyFill="1" applyBorder="1"/>
    <xf numFmtId="3" fontId="3" fillId="8" borderId="57" xfId="0" applyNumberFormat="1" applyFont="1" applyFill="1" applyBorder="1"/>
    <xf numFmtId="3" fontId="3" fillId="8" borderId="29" xfId="0" applyNumberFormat="1" applyFont="1" applyFill="1" applyBorder="1"/>
    <xf numFmtId="2" fontId="3" fillId="8" borderId="30" xfId="0" applyNumberFormat="1" applyFont="1" applyFill="1" applyBorder="1"/>
    <xf numFmtId="0" fontId="3" fillId="2" borderId="41" xfId="0" applyFont="1" applyFill="1" applyBorder="1"/>
    <xf numFmtId="0" fontId="3" fillId="2" borderId="62" xfId="0" applyFont="1" applyFill="1" applyBorder="1"/>
    <xf numFmtId="0" fontId="3" fillId="2" borderId="39" xfId="0" applyFont="1" applyFill="1" applyBorder="1"/>
    <xf numFmtId="0" fontId="3" fillId="5" borderId="22" xfId="0" applyFont="1" applyFill="1" applyBorder="1" applyAlignment="1">
      <alignment horizontal="center"/>
    </xf>
    <xf numFmtId="0" fontId="3" fillId="5" borderId="24" xfId="0" applyFont="1" applyFill="1" applyBorder="1" applyAlignment="1">
      <alignment horizontal="center"/>
    </xf>
    <xf numFmtId="0" fontId="3" fillId="5" borderId="63" xfId="0" applyFont="1" applyFill="1" applyBorder="1" applyAlignment="1">
      <alignment horizontal="center"/>
    </xf>
    <xf numFmtId="0" fontId="0" fillId="7" borderId="31" xfId="0" applyFont="1" applyFill="1" applyBorder="1"/>
    <xf numFmtId="0" fontId="0" fillId="7" borderId="32" xfId="0" applyFont="1" applyFill="1" applyBorder="1" applyAlignment="1">
      <alignment horizontal="center"/>
    </xf>
    <xf numFmtId="0" fontId="0" fillId="7" borderId="33" xfId="0" applyFont="1" applyFill="1" applyBorder="1"/>
    <xf numFmtId="0" fontId="0" fillId="7" borderId="34" xfId="0" applyFont="1" applyFill="1" applyBorder="1"/>
    <xf numFmtId="0" fontId="0" fillId="7" borderId="35" xfId="0" applyFont="1" applyFill="1" applyBorder="1"/>
    <xf numFmtId="0" fontId="0" fillId="7" borderId="35" xfId="0" applyFont="1" applyFill="1" applyBorder="1" applyAlignment="1">
      <alignment horizontal="left"/>
    </xf>
    <xf numFmtId="0" fontId="0" fillId="7" borderId="36" xfId="0" applyFont="1" applyFill="1" applyBorder="1"/>
    <xf numFmtId="0" fontId="0" fillId="7" borderId="37" xfId="0" applyFont="1" applyFill="1" applyBorder="1" applyAlignment="1">
      <alignment horizontal="left"/>
    </xf>
    <xf numFmtId="0" fontId="0" fillId="7" borderId="38" xfId="0" applyFont="1" applyFill="1" applyBorder="1" applyAlignment="1">
      <alignment horizontal="left"/>
    </xf>
    <xf numFmtId="0" fontId="3" fillId="10" borderId="25" xfId="0" applyFont="1" applyFill="1" applyBorder="1" applyAlignment="1">
      <alignment horizontal="left" vertical="center"/>
    </xf>
    <xf numFmtId="0" fontId="0" fillId="11" borderId="0" xfId="0" applyFont="1" applyFill="1" applyBorder="1" applyAlignment="1">
      <alignment horizontal="center"/>
    </xf>
    <xf numFmtId="0" fontId="0" fillId="11" borderId="0" xfId="0" applyFont="1" applyFill="1" applyBorder="1" applyAlignment="1">
      <alignment vertical="center"/>
    </xf>
    <xf numFmtId="0" fontId="3" fillId="14" borderId="54" xfId="0" applyNumberFormat="1" applyFont="1" applyFill="1" applyBorder="1" applyAlignment="1">
      <alignment horizontal="center" vertical="center"/>
    </xf>
    <xf numFmtId="0" fontId="3" fillId="14" borderId="18" xfId="0" applyFont="1" applyFill="1" applyBorder="1"/>
    <xf numFmtId="3" fontId="3" fillId="10" borderId="33" xfId="0" applyNumberFormat="1" applyFont="1" applyFill="1" applyBorder="1" applyAlignment="1">
      <alignment horizontal="center" vertical="center"/>
    </xf>
    <xf numFmtId="0" fontId="1" fillId="14" borderId="34" xfId="0" applyFont="1" applyFill="1" applyBorder="1" applyAlignment="1">
      <alignment horizontal="left"/>
    </xf>
    <xf numFmtId="0" fontId="1" fillId="10" borderId="0" xfId="0" applyFont="1" applyFill="1" applyBorder="1" applyAlignment="1">
      <alignment horizontal="left"/>
    </xf>
    <xf numFmtId="0" fontId="0" fillId="10" borderId="0" xfId="0" applyFill="1" applyBorder="1"/>
    <xf numFmtId="0" fontId="0" fillId="10" borderId="0" xfId="0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3" fontId="2" fillId="0" borderId="4" xfId="0" applyNumberFormat="1" applyFont="1" applyFill="1" applyBorder="1" applyAlignment="1">
      <alignment horizontal="center"/>
    </xf>
    <xf numFmtId="0" fontId="8" fillId="15" borderId="13" xfId="0" applyFont="1" applyFill="1" applyBorder="1" applyAlignment="1">
      <alignment horizontal="center" vertical="center"/>
    </xf>
    <xf numFmtId="3" fontId="8" fillId="15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23</xdr:row>
      <xdr:rowOff>122556</xdr:rowOff>
    </xdr:from>
    <xdr:to>
      <xdr:col>1</xdr:col>
      <xdr:colOff>601091</xdr:colOff>
      <xdr:row>27</xdr:row>
      <xdr:rowOff>206375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7B77A6A-684A-4493-A3B9-417EF4E873B1}"/>
            </a:ext>
          </a:extLst>
        </xdr:cNvPr>
        <xdr:cNvSpPr txBox="1"/>
      </xdr:nvSpPr>
      <xdr:spPr>
        <a:xfrm>
          <a:off x="180975" y="7456806"/>
          <a:ext cx="3782441" cy="11410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Note: </a:t>
          </a:r>
          <a:r>
            <a:rPr lang="en-US" sz="1400"/>
            <a:t>This enterprise budget was developed based on data collected over 3 years from three growers in Chittenden County, Vermont, USA. Additional data from other locations are needed to fully validate the values.</a:t>
          </a:r>
        </a:p>
      </xdr:txBody>
    </xdr:sp>
    <xdr:clientData/>
  </xdr:twoCellAnchor>
  <xdr:twoCellAnchor>
    <xdr:from>
      <xdr:col>0</xdr:col>
      <xdr:colOff>190500</xdr:colOff>
      <xdr:row>28</xdr:row>
      <xdr:rowOff>50801</xdr:rowOff>
    </xdr:from>
    <xdr:to>
      <xdr:col>1</xdr:col>
      <xdr:colOff>609600</xdr:colOff>
      <xdr:row>31</xdr:row>
      <xdr:rowOff>233681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38F4DA6-8D86-4295-893F-F50C57C159C7}"/>
            </a:ext>
          </a:extLst>
        </xdr:cNvPr>
        <xdr:cNvSpPr txBox="1"/>
      </xdr:nvSpPr>
      <xdr:spPr>
        <a:xfrm>
          <a:off x="190500" y="9398001"/>
          <a:ext cx="3784600" cy="10972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0"/>
            <a:t>This research was funded in part by the Vermont Specialty Crops Block Grant, 2017-2019). Thanks also to the cooperating growers who provided data with which to build this budget.</a:t>
          </a:r>
        </a:p>
      </xdr:txBody>
    </xdr:sp>
    <xdr:clientData/>
  </xdr:twoCellAnchor>
  <xdr:twoCellAnchor>
    <xdr:from>
      <xdr:col>0</xdr:col>
      <xdr:colOff>215900</xdr:colOff>
      <xdr:row>32</xdr:row>
      <xdr:rowOff>101600</xdr:rowOff>
    </xdr:from>
    <xdr:to>
      <xdr:col>1</xdr:col>
      <xdr:colOff>635000</xdr:colOff>
      <xdr:row>36</xdr:row>
      <xdr:rowOff>190500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5D91B05-3202-4BF3-AD83-77B6CA2D2C33}"/>
            </a:ext>
          </a:extLst>
        </xdr:cNvPr>
        <xdr:cNvSpPr txBox="1"/>
      </xdr:nvSpPr>
      <xdr:spPr>
        <a:xfrm>
          <a:off x="215900" y="10668000"/>
          <a:ext cx="3784600" cy="127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0"/>
            <a:t>For additional information, contact the author</a:t>
          </a:r>
          <a:r>
            <a:rPr lang="en-US" sz="1400" b="0" baseline="0"/>
            <a:t> at </a:t>
          </a:r>
          <a:r>
            <a:rPr lang="en-US" sz="1400" b="0" u="sng" baseline="0"/>
            <a:t>aghalego@uvm.edu  </a:t>
          </a:r>
        </a:p>
        <a:p>
          <a:endParaRPr lang="en-US" sz="1400" b="0" baseline="0"/>
        </a:p>
        <a:p>
          <a:r>
            <a:rPr lang="en-US" sz="1400" b="0" baseline="0"/>
            <a:t>© University of Vermont, Burlington, VT  USA</a:t>
          </a:r>
        </a:p>
        <a:p>
          <a:r>
            <a:rPr lang="en-US" sz="1400" b="0" baseline="0"/>
            <a:t>Not for reproduction without author permission.</a:t>
          </a:r>
          <a:endParaRPr lang="en-US" sz="1400" b="0"/>
        </a:p>
      </xdr:txBody>
    </xdr:sp>
    <xdr:clientData/>
  </xdr:twoCellAnchor>
  <xdr:twoCellAnchor>
    <xdr:from>
      <xdr:col>0</xdr:col>
      <xdr:colOff>158750</xdr:colOff>
      <xdr:row>37</xdr:row>
      <xdr:rowOff>107950</xdr:rowOff>
    </xdr:from>
    <xdr:to>
      <xdr:col>1</xdr:col>
      <xdr:colOff>577850</xdr:colOff>
      <xdr:row>39</xdr:row>
      <xdr:rowOff>3175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EDE710AB-C1CE-41C7-8054-9333733792B0}"/>
            </a:ext>
            <a:ext uri="{147F2762-F138-4A5C-976F-8EAC2B608ADB}">
              <a16:predDERef xmlns:a16="http://schemas.microsoft.com/office/drawing/2014/main" pred="{75D91B05-3202-4BF3-AD83-77B6CA2D2C33}"/>
            </a:ext>
          </a:extLst>
        </xdr:cNvPr>
        <xdr:cNvSpPr txBox="1"/>
      </xdr:nvSpPr>
      <xdr:spPr>
        <a:xfrm>
          <a:off x="158750" y="11395075"/>
          <a:ext cx="3781425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http://www.uvm.edu/~saffron/</a:t>
          </a:r>
        </a:p>
      </xdr:txBody>
    </xdr:sp>
    <xdr:clientData/>
  </xdr:twoCellAnchor>
  <xdr:twoCellAnchor editAs="oneCell">
    <xdr:from>
      <xdr:col>10</xdr:col>
      <xdr:colOff>678180</xdr:colOff>
      <xdr:row>36</xdr:row>
      <xdr:rowOff>86995</xdr:rowOff>
    </xdr:from>
    <xdr:to>
      <xdr:col>12</xdr:col>
      <xdr:colOff>294005</xdr:colOff>
      <xdr:row>41</xdr:row>
      <xdr:rowOff>157965</xdr:rowOff>
    </xdr:to>
    <xdr:pic>
      <xdr:nvPicPr>
        <xdr:cNvPr id="4" name="Picture 7">
          <a:extLst>
            <a:ext uri="{FF2B5EF4-FFF2-40B4-BE49-F238E27FC236}">
              <a16:creationId xmlns:a16="http://schemas.microsoft.com/office/drawing/2014/main" id="{4324A13B-9216-4047-A0A9-383B33A13C22}"/>
            </a:ext>
            <a:ext uri="{147F2762-F138-4A5C-976F-8EAC2B608ADB}">
              <a16:predDERef xmlns:a16="http://schemas.microsoft.com/office/drawing/2014/main" pred="{EDE710AB-C1CE-41C7-8054-9333733792B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85" t="9937" r="6873" b="10518"/>
        <a:stretch/>
      </xdr:blipFill>
      <xdr:spPr bwMode="auto">
        <a:xfrm>
          <a:off x="20128230" y="11021695"/>
          <a:ext cx="1625600" cy="14901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5"/>
  <sheetViews>
    <sheetView tabSelected="1" zoomScale="110" zoomScaleNormal="110" workbookViewId="0">
      <selection activeCell="H38" sqref="H38"/>
    </sheetView>
  </sheetViews>
  <sheetFormatPr defaultColWidth="9.109375" defaultRowHeight="14.4" x14ac:dyDescent="0.3"/>
  <cols>
    <col min="1" max="1" width="50.44140625" style="1" customWidth="1"/>
    <col min="2" max="2" width="13.5546875" style="1" customWidth="1"/>
    <col min="3" max="3" width="10.44140625" style="1" customWidth="1"/>
    <col min="4" max="4" width="57.33203125" style="1" customWidth="1"/>
    <col min="5" max="5" width="22.44140625" style="1" customWidth="1"/>
    <col min="6" max="6" width="8.44140625" style="1" customWidth="1"/>
    <col min="7" max="7" width="2.5546875" style="1" customWidth="1"/>
    <col min="8" max="8" width="89" style="1" customWidth="1"/>
    <col min="9" max="9" width="14.5546875" style="1" customWidth="1"/>
    <col min="10" max="10" width="30.109375" style="1" customWidth="1"/>
    <col min="11" max="11" width="15.88671875" style="1" customWidth="1"/>
    <col min="12" max="12" width="14.33203125" style="1" customWidth="1"/>
    <col min="13" max="13" width="11.33203125" style="1" customWidth="1"/>
    <col min="14" max="16384" width="9.109375" style="1"/>
  </cols>
  <sheetData>
    <row r="1" spans="1:13" ht="33.75" customHeight="1" thickBot="1" x14ac:dyDescent="0.65">
      <c r="A1" s="63"/>
      <c r="B1" s="64" t="s">
        <v>0</v>
      </c>
      <c r="C1" s="65"/>
      <c r="D1" s="95"/>
      <c r="E1" s="91" t="s">
        <v>91</v>
      </c>
      <c r="F1" s="92"/>
      <c r="G1" s="92"/>
      <c r="H1" s="92"/>
      <c r="I1" s="92"/>
      <c r="J1" s="92"/>
      <c r="K1" s="93"/>
      <c r="L1" s="93"/>
      <c r="M1" s="94"/>
    </row>
    <row r="2" spans="1:13" ht="31.2" x14ac:dyDescent="0.6">
      <c r="A2" s="73"/>
      <c r="B2" s="74" t="s">
        <v>1</v>
      </c>
      <c r="C2" s="75"/>
      <c r="D2" s="76"/>
      <c r="E2" s="2"/>
      <c r="F2" s="2"/>
      <c r="G2" s="2"/>
      <c r="H2" s="15" t="s">
        <v>2</v>
      </c>
      <c r="I2" s="12"/>
      <c r="J2" s="12"/>
      <c r="K2" s="12"/>
      <c r="L2" s="39"/>
      <c r="M2" s="51"/>
    </row>
    <row r="3" spans="1:13" ht="23.4" x14ac:dyDescent="0.45">
      <c r="A3" s="77" t="s">
        <v>3</v>
      </c>
      <c r="B3" s="5"/>
      <c r="C3" s="2"/>
      <c r="D3" s="2"/>
      <c r="E3" s="2"/>
      <c r="F3" s="2"/>
      <c r="G3" s="2"/>
      <c r="H3" s="124" t="s">
        <v>4</v>
      </c>
      <c r="I3" s="126">
        <f>B5*F5</f>
        <v>0</v>
      </c>
      <c r="J3" s="125" t="s">
        <v>5</v>
      </c>
      <c r="K3" s="44">
        <f xml:space="preserve"> I3+I4+I5+I6+I7+I8+I9</f>
        <v>3793.5</v>
      </c>
      <c r="L3" s="43" t="s">
        <v>6</v>
      </c>
      <c r="M3" s="67">
        <f>I7+I8</f>
        <v>0</v>
      </c>
    </row>
    <row r="4" spans="1:13" ht="23.4" x14ac:dyDescent="0.45">
      <c r="A4" s="68" t="s">
        <v>7</v>
      </c>
      <c r="B4" s="26">
        <v>0</v>
      </c>
      <c r="C4" s="2"/>
      <c r="D4" s="25" t="s">
        <v>8</v>
      </c>
      <c r="E4" s="11" t="s">
        <v>9</v>
      </c>
      <c r="F4" s="32">
        <v>35</v>
      </c>
      <c r="G4" s="2"/>
      <c r="H4" s="130" t="s">
        <v>10</v>
      </c>
      <c r="I4" s="127">
        <v>1822.5</v>
      </c>
      <c r="J4" s="133" t="s">
        <v>11</v>
      </c>
      <c r="K4" s="41"/>
      <c r="L4" s="12"/>
      <c r="M4" s="55"/>
    </row>
    <row r="5" spans="1:13" ht="23.4" x14ac:dyDescent="0.45">
      <c r="A5" s="69" t="s">
        <v>12</v>
      </c>
      <c r="B5" s="36">
        <f>B4*7600</f>
        <v>0</v>
      </c>
      <c r="C5" s="2"/>
      <c r="D5" s="25" t="s">
        <v>13</v>
      </c>
      <c r="E5" s="11" t="s">
        <v>92</v>
      </c>
      <c r="F5" s="33">
        <v>0.25</v>
      </c>
      <c r="G5" s="2"/>
      <c r="H5" s="130" t="s">
        <v>14</v>
      </c>
      <c r="I5" s="128">
        <v>1483</v>
      </c>
      <c r="J5" s="134" t="s">
        <v>15</v>
      </c>
      <c r="K5" s="41"/>
      <c r="L5" s="39"/>
      <c r="M5" s="51"/>
    </row>
    <row r="6" spans="1:13" ht="23.4" x14ac:dyDescent="0.45">
      <c r="A6" s="70"/>
      <c r="B6" s="12"/>
      <c r="C6" s="2"/>
      <c r="D6" s="2"/>
      <c r="E6" s="3"/>
      <c r="F6" s="3"/>
      <c r="G6" s="2"/>
      <c r="H6" s="130" t="s">
        <v>16</v>
      </c>
      <c r="I6" s="128">
        <v>488</v>
      </c>
      <c r="J6" s="134" t="s">
        <v>17</v>
      </c>
      <c r="K6" s="41"/>
      <c r="L6" s="39"/>
      <c r="M6" s="51"/>
    </row>
    <row r="7" spans="1:13" ht="23.4" x14ac:dyDescent="0.45">
      <c r="A7" s="68" t="s">
        <v>18</v>
      </c>
      <c r="B7" s="20">
        <f>B5*0.5</f>
        <v>0</v>
      </c>
      <c r="C7" s="2"/>
      <c r="D7" s="2"/>
      <c r="E7" s="3"/>
      <c r="F7" s="3"/>
      <c r="G7" s="2"/>
      <c r="H7" s="130" t="s">
        <v>19</v>
      </c>
      <c r="I7" s="128">
        <f>((B7/177)*17)*0.25</f>
        <v>0</v>
      </c>
      <c r="J7" s="134" t="s">
        <v>20</v>
      </c>
      <c r="K7" s="41"/>
      <c r="L7" s="39"/>
      <c r="M7" s="51"/>
    </row>
    <row r="8" spans="1:13" ht="23.4" x14ac:dyDescent="0.45">
      <c r="A8" s="69" t="s">
        <v>21</v>
      </c>
      <c r="B8" s="21">
        <v>5.5999999999999999E-3</v>
      </c>
      <c r="C8" s="2"/>
      <c r="D8" s="13" t="s">
        <v>22</v>
      </c>
      <c r="E8" s="22">
        <f>B7*B8</f>
        <v>0</v>
      </c>
      <c r="F8" s="3"/>
      <c r="G8" s="2"/>
      <c r="H8" s="131" t="s">
        <v>23</v>
      </c>
      <c r="I8" s="128">
        <f>((B7/177)*34)*0.25</f>
        <v>0</v>
      </c>
      <c r="J8" s="134" t="s">
        <v>24</v>
      </c>
      <c r="K8" s="41"/>
      <c r="L8" s="39"/>
      <c r="M8" s="51"/>
    </row>
    <row r="9" spans="1:13" ht="23.4" x14ac:dyDescent="0.45">
      <c r="A9" s="71"/>
      <c r="B9" s="12"/>
      <c r="C9" s="2"/>
      <c r="D9" s="12"/>
      <c r="E9" s="14"/>
      <c r="F9" s="3"/>
      <c r="G9" s="2"/>
      <c r="H9" s="132" t="s">
        <v>25</v>
      </c>
      <c r="I9" s="129">
        <f>E8*1.56</f>
        <v>0</v>
      </c>
      <c r="J9" s="135"/>
      <c r="K9" s="41"/>
      <c r="L9" s="39"/>
      <c r="M9" s="51"/>
    </row>
    <row r="10" spans="1:13" ht="23.4" x14ac:dyDescent="0.45">
      <c r="A10" s="68" t="s">
        <v>26</v>
      </c>
      <c r="B10" s="20">
        <f>B7*4.4</f>
        <v>0</v>
      </c>
      <c r="C10" s="2"/>
      <c r="D10" s="13" t="s">
        <v>27</v>
      </c>
      <c r="E10" s="22">
        <f>B10*B11</f>
        <v>0</v>
      </c>
      <c r="F10" s="3"/>
      <c r="G10" s="2"/>
      <c r="H10" s="15" t="s">
        <v>28</v>
      </c>
      <c r="I10" s="41"/>
      <c r="J10" s="15"/>
      <c r="K10" s="41"/>
      <c r="L10" s="39"/>
      <c r="M10" s="51"/>
    </row>
    <row r="11" spans="1:13" ht="18" x14ac:dyDescent="0.35">
      <c r="A11" s="69" t="s">
        <v>29</v>
      </c>
      <c r="B11" s="21">
        <v>5.5999999999999999E-3</v>
      </c>
      <c r="C11" s="2"/>
      <c r="D11" s="12"/>
      <c r="E11" s="14"/>
      <c r="F11" s="3"/>
      <c r="G11" s="2"/>
      <c r="H11" s="62" t="s">
        <v>30</v>
      </c>
      <c r="I11" s="86">
        <v>0</v>
      </c>
      <c r="J11" s="105" t="s">
        <v>5</v>
      </c>
      <c r="K11" s="113">
        <f>I11+I12+I13+I14+I15+I17+I16</f>
        <v>588</v>
      </c>
      <c r="L11" s="111" t="s">
        <v>6</v>
      </c>
      <c r="M11" s="114">
        <f>I15+I16</f>
        <v>0</v>
      </c>
    </row>
    <row r="12" spans="1:13" ht="18" x14ac:dyDescent="0.35">
      <c r="A12" s="71"/>
      <c r="B12" s="12"/>
      <c r="C12" s="2"/>
      <c r="D12" s="13" t="s">
        <v>31</v>
      </c>
      <c r="E12" s="22">
        <f>B13*B14</f>
        <v>0</v>
      </c>
      <c r="F12" s="3"/>
      <c r="G12" s="2"/>
      <c r="H12" s="60" t="s">
        <v>32</v>
      </c>
      <c r="I12" s="84">
        <v>100</v>
      </c>
      <c r="J12" s="106" t="s">
        <v>33</v>
      </c>
      <c r="K12" s="53"/>
      <c r="L12" s="53"/>
      <c r="M12" s="54"/>
    </row>
    <row r="13" spans="1:13" ht="22.5" customHeight="1" x14ac:dyDescent="0.45">
      <c r="A13" s="68" t="s">
        <v>34</v>
      </c>
      <c r="B13" s="20">
        <f>B7*4.4</f>
        <v>0</v>
      </c>
      <c r="C13" s="2"/>
      <c r="D13" s="12"/>
      <c r="E13" s="14"/>
      <c r="F13" s="3"/>
      <c r="G13" s="2"/>
      <c r="H13" s="60" t="s">
        <v>35</v>
      </c>
      <c r="I13" s="84">
        <v>0</v>
      </c>
      <c r="J13" s="49" t="s">
        <v>15</v>
      </c>
      <c r="K13" s="41"/>
      <c r="L13" s="39"/>
      <c r="M13" s="51"/>
    </row>
    <row r="14" spans="1:13" ht="23.4" x14ac:dyDescent="0.45">
      <c r="A14" s="69" t="s">
        <v>36</v>
      </c>
      <c r="B14" s="21">
        <v>5.5999999999999999E-3</v>
      </c>
      <c r="C14" s="2"/>
      <c r="D14" s="13" t="s">
        <v>37</v>
      </c>
      <c r="E14" s="22">
        <f>B16*B17</f>
        <v>0</v>
      </c>
      <c r="F14" s="3"/>
      <c r="G14" s="2"/>
      <c r="H14" s="60" t="s">
        <v>38</v>
      </c>
      <c r="I14" s="84">
        <v>488</v>
      </c>
      <c r="J14" s="49" t="s">
        <v>17</v>
      </c>
      <c r="K14" s="41"/>
      <c r="L14" s="39"/>
      <c r="M14" s="51"/>
    </row>
    <row r="15" spans="1:13" ht="23.4" x14ac:dyDescent="0.45">
      <c r="A15" s="71"/>
      <c r="B15" s="12"/>
      <c r="C15" s="2"/>
      <c r="D15" s="12"/>
      <c r="E15" s="14"/>
      <c r="F15" s="3"/>
      <c r="G15" s="2"/>
      <c r="H15" s="60" t="s">
        <v>39</v>
      </c>
      <c r="I15" s="84">
        <f>((B10/177)*17)*0.25</f>
        <v>0</v>
      </c>
      <c r="J15" s="49" t="s">
        <v>20</v>
      </c>
      <c r="K15" s="41"/>
      <c r="L15" s="39"/>
      <c r="M15" s="51"/>
    </row>
    <row r="16" spans="1:13" ht="23.4" x14ac:dyDescent="0.45">
      <c r="A16" s="68" t="s">
        <v>40</v>
      </c>
      <c r="B16" s="20">
        <f>B7*2.5</f>
        <v>0</v>
      </c>
      <c r="C16" s="2"/>
      <c r="D16" s="13" t="s">
        <v>41</v>
      </c>
      <c r="E16" s="22">
        <f>B19*B20</f>
        <v>0</v>
      </c>
      <c r="F16" s="3"/>
      <c r="G16" s="2"/>
      <c r="H16" s="61" t="s">
        <v>42</v>
      </c>
      <c r="I16" s="84">
        <f>((B10/177)*34)*0.25</f>
        <v>0</v>
      </c>
      <c r="J16" s="49" t="s">
        <v>24</v>
      </c>
      <c r="K16" s="41"/>
      <c r="L16" s="39"/>
      <c r="M16" s="51"/>
    </row>
    <row r="17" spans="1:16" ht="23.4" x14ac:dyDescent="0.45">
      <c r="A17" s="69" t="s">
        <v>43</v>
      </c>
      <c r="B17" s="21">
        <v>5.5999999999999999E-3</v>
      </c>
      <c r="C17" s="2"/>
      <c r="D17" s="12"/>
      <c r="E17" s="14"/>
      <c r="F17" s="2"/>
      <c r="G17" s="2"/>
      <c r="H17" s="59" t="s">
        <v>44</v>
      </c>
      <c r="I17" s="85">
        <f>E10*1.56</f>
        <v>0</v>
      </c>
      <c r="J17" s="50"/>
      <c r="K17" s="41"/>
      <c r="L17" s="39"/>
      <c r="M17" s="51"/>
    </row>
    <row r="18" spans="1:16" ht="24" customHeight="1" x14ac:dyDescent="0.45">
      <c r="A18" s="71"/>
      <c r="B18" s="12"/>
      <c r="C18" s="2"/>
      <c r="D18" s="24" t="s">
        <v>45</v>
      </c>
      <c r="E18" s="23">
        <f>B23*B5</f>
        <v>0</v>
      </c>
      <c r="F18" s="4"/>
      <c r="G18" s="2"/>
      <c r="H18" s="15" t="s">
        <v>46</v>
      </c>
      <c r="I18" s="41"/>
      <c r="J18" s="15"/>
      <c r="K18" s="41"/>
      <c r="L18" s="39"/>
      <c r="M18" s="51"/>
      <c r="P18" s="47"/>
    </row>
    <row r="19" spans="1:16" ht="21.75" customHeight="1" x14ac:dyDescent="0.35">
      <c r="A19" s="68" t="s">
        <v>47</v>
      </c>
      <c r="B19" s="20">
        <f>B7*1.5</f>
        <v>0</v>
      </c>
      <c r="C19" s="2"/>
      <c r="D19" s="15"/>
      <c r="E19" s="16"/>
      <c r="F19" s="2"/>
      <c r="G19" s="2"/>
      <c r="H19" s="30" t="s">
        <v>48</v>
      </c>
      <c r="I19" s="78">
        <v>0</v>
      </c>
      <c r="J19" s="107" t="s">
        <v>5</v>
      </c>
      <c r="K19" s="115">
        <f>I19+I20+I21+I22+I23+I25+I24</f>
        <v>588</v>
      </c>
      <c r="L19" s="111" t="s">
        <v>6</v>
      </c>
      <c r="M19" s="114">
        <f>I23+I25</f>
        <v>0</v>
      </c>
    </row>
    <row r="20" spans="1:16" ht="23.4" x14ac:dyDescent="0.45">
      <c r="A20" s="69" t="s">
        <v>49</v>
      </c>
      <c r="B20" s="21">
        <v>5.5999999999999999E-3</v>
      </c>
      <c r="C20" s="2"/>
      <c r="D20" s="19" t="s">
        <v>50</v>
      </c>
      <c r="E20" s="34">
        <f>E8+E10+E12+E14+F30+E16</f>
        <v>0</v>
      </c>
      <c r="F20" s="2"/>
      <c r="G20" s="2"/>
      <c r="H20" s="28" t="s">
        <v>51</v>
      </c>
      <c r="I20" s="42">
        <v>100</v>
      </c>
      <c r="J20" s="106" t="s">
        <v>52</v>
      </c>
      <c r="K20" s="103"/>
      <c r="L20" s="104"/>
      <c r="M20" s="109"/>
    </row>
    <row r="21" spans="1:16" ht="18" x14ac:dyDescent="0.35">
      <c r="A21" s="71"/>
      <c r="B21" s="12"/>
      <c r="C21" s="2"/>
      <c r="D21" s="18" t="s">
        <v>53</v>
      </c>
      <c r="E21" s="35">
        <f>B5*B23</f>
        <v>0</v>
      </c>
      <c r="F21" s="2"/>
      <c r="G21" s="2"/>
      <c r="H21" s="28" t="s">
        <v>54</v>
      </c>
      <c r="I21" s="42">
        <v>0</v>
      </c>
      <c r="J21" s="49" t="s">
        <v>15</v>
      </c>
      <c r="K21" s="53"/>
      <c r="L21" s="53"/>
      <c r="M21" s="54"/>
    </row>
    <row r="22" spans="1:16" ht="23.4" x14ac:dyDescent="0.45">
      <c r="A22" s="66" t="s">
        <v>55</v>
      </c>
      <c r="B22" s="12"/>
      <c r="C22" s="2"/>
      <c r="D22" s="17"/>
      <c r="E22" s="16"/>
      <c r="F22" s="2"/>
      <c r="G22" s="2"/>
      <c r="H22" s="28" t="s">
        <v>56</v>
      </c>
      <c r="I22" s="42">
        <v>488</v>
      </c>
      <c r="J22" s="49" t="s">
        <v>17</v>
      </c>
      <c r="K22" s="41"/>
      <c r="L22" s="39"/>
      <c r="M22" s="51"/>
    </row>
    <row r="23" spans="1:16" ht="23.4" x14ac:dyDescent="0.45">
      <c r="A23" s="72" t="s">
        <v>57</v>
      </c>
      <c r="B23" s="27">
        <v>1</v>
      </c>
      <c r="C23" s="2"/>
      <c r="D23" s="145" t="s">
        <v>58</v>
      </c>
      <c r="E23" s="150">
        <f>E20*F4</f>
        <v>0</v>
      </c>
      <c r="F23" s="2"/>
      <c r="G23" s="2"/>
      <c r="H23" s="28" t="s">
        <v>59</v>
      </c>
      <c r="I23" s="42">
        <f>((B13/177)*17)*0.25</f>
        <v>0</v>
      </c>
      <c r="J23" s="49" t="s">
        <v>20</v>
      </c>
      <c r="K23" s="41"/>
      <c r="L23" s="39"/>
      <c r="M23" s="51"/>
    </row>
    <row r="24" spans="1:16" ht="22.5" customHeight="1" x14ac:dyDescent="0.45">
      <c r="A24" s="56"/>
      <c r="B24" s="4"/>
      <c r="C24" s="2"/>
      <c r="D24" s="149" t="s">
        <v>60</v>
      </c>
      <c r="E24" s="148">
        <f>E21*F5</f>
        <v>0</v>
      </c>
      <c r="F24" s="2"/>
      <c r="G24" s="4"/>
      <c r="H24" s="45" t="s">
        <v>61</v>
      </c>
      <c r="I24" s="79">
        <f>((B13/177)*34)*0.25</f>
        <v>0</v>
      </c>
      <c r="J24" s="49" t="s">
        <v>24</v>
      </c>
      <c r="K24" s="83"/>
      <c r="L24" s="39"/>
      <c r="M24" s="51"/>
    </row>
    <row r="25" spans="1:16" ht="21.75" customHeight="1" x14ac:dyDescent="0.45">
      <c r="A25" s="56"/>
      <c r="B25" s="4"/>
      <c r="C25" s="53"/>
      <c r="D25" s="53"/>
      <c r="E25" s="146"/>
      <c r="F25" s="147"/>
      <c r="G25" s="4"/>
      <c r="H25" s="29" t="s">
        <v>62</v>
      </c>
      <c r="I25" s="80">
        <f>E12*1.56</f>
        <v>0</v>
      </c>
      <c r="J25" s="82"/>
      <c r="K25" s="41"/>
      <c r="L25" s="39"/>
      <c r="M25" s="51"/>
    </row>
    <row r="26" spans="1:16" ht="20.25" customHeight="1" x14ac:dyDescent="0.35">
      <c r="A26" s="56"/>
      <c r="B26" s="4"/>
      <c r="C26" s="136"/>
      <c r="D26" s="137"/>
      <c r="E26" s="137"/>
      <c r="F26" s="138"/>
      <c r="G26" s="4"/>
      <c r="H26" s="15" t="s">
        <v>63</v>
      </c>
      <c r="I26" s="12"/>
      <c r="J26" s="15"/>
      <c r="K26" s="53"/>
      <c r="L26" s="53"/>
      <c r="M26" s="54"/>
    </row>
    <row r="27" spans="1:16" ht="21" x14ac:dyDescent="0.4">
      <c r="A27" s="56"/>
      <c r="B27" s="4"/>
      <c r="C27" s="139"/>
      <c r="D27" s="155" t="s">
        <v>64</v>
      </c>
      <c r="E27" s="156">
        <f>E23+E24</f>
        <v>0</v>
      </c>
      <c r="F27" s="140"/>
      <c r="G27" s="4"/>
      <c r="H27" s="30" t="s">
        <v>65</v>
      </c>
      <c r="I27" s="108">
        <v>0</v>
      </c>
      <c r="J27" s="123" t="s">
        <v>5</v>
      </c>
      <c r="K27" s="113">
        <f>I27+I28+I29+I30+I31+I33+I32</f>
        <v>588</v>
      </c>
      <c r="L27" s="111" t="s">
        <v>6</v>
      </c>
      <c r="M27" s="112">
        <f>I33+I34</f>
        <v>0</v>
      </c>
    </row>
    <row r="28" spans="1:16" ht="23.4" x14ac:dyDescent="0.45">
      <c r="A28" s="56"/>
      <c r="B28" s="4"/>
      <c r="C28" s="139"/>
      <c r="D28" s="38"/>
      <c r="E28" s="37"/>
      <c r="F28" s="140"/>
      <c r="G28" s="4"/>
      <c r="H28" s="28" t="s">
        <v>66</v>
      </c>
      <c r="I28" s="110">
        <v>100</v>
      </c>
      <c r="J28" s="48" t="s">
        <v>52</v>
      </c>
      <c r="K28" s="41"/>
      <c r="L28" s="39"/>
      <c r="M28" s="51"/>
    </row>
    <row r="29" spans="1:16" ht="21" x14ac:dyDescent="0.4">
      <c r="A29" s="56"/>
      <c r="B29" s="4"/>
      <c r="C29" s="139"/>
      <c r="D29" s="7" t="s">
        <v>67</v>
      </c>
      <c r="E29" s="8">
        <f>K3+K11+K19+K27+K35</f>
        <v>6145.5</v>
      </c>
      <c r="F29" s="141"/>
      <c r="G29" s="4"/>
      <c r="H29" s="28" t="s">
        <v>68</v>
      </c>
      <c r="I29" s="110">
        <v>0</v>
      </c>
      <c r="J29" s="49" t="s">
        <v>69</v>
      </c>
      <c r="K29" s="58"/>
      <c r="L29" s="53"/>
      <c r="M29" s="54"/>
    </row>
    <row r="30" spans="1:16" ht="23.4" x14ac:dyDescent="0.45">
      <c r="A30" s="56"/>
      <c r="B30" s="4"/>
      <c r="C30" s="139"/>
      <c r="D30" s="38"/>
      <c r="E30" s="37"/>
      <c r="F30" s="141"/>
      <c r="G30" s="4"/>
      <c r="H30" s="28" t="s">
        <v>70</v>
      </c>
      <c r="I30" s="110">
        <v>488</v>
      </c>
      <c r="J30" s="106" t="s">
        <v>17</v>
      </c>
      <c r="K30" s="41"/>
      <c r="L30" s="39"/>
      <c r="M30" s="51"/>
    </row>
    <row r="31" spans="1:16" ht="23.4" x14ac:dyDescent="0.45">
      <c r="A31" s="56"/>
      <c r="B31" s="4"/>
      <c r="C31" s="139"/>
      <c r="D31" s="6" t="s">
        <v>71</v>
      </c>
      <c r="E31" s="9">
        <f>(E8*F4)-K3</f>
        <v>-3793.5</v>
      </c>
      <c r="F31" s="141"/>
      <c r="G31" s="4"/>
      <c r="H31" s="28" t="s">
        <v>72</v>
      </c>
      <c r="I31" s="110">
        <f>((B16/177)*17)*0.25</f>
        <v>0</v>
      </c>
      <c r="J31" s="49" t="s">
        <v>20</v>
      </c>
      <c r="K31" s="41"/>
      <c r="L31" s="39"/>
      <c r="M31" s="51"/>
    </row>
    <row r="32" spans="1:16" ht="23.4" x14ac:dyDescent="0.45">
      <c r="A32" s="56"/>
      <c r="B32" s="4"/>
      <c r="C32" s="139"/>
      <c r="D32" s="6" t="s">
        <v>73</v>
      </c>
      <c r="E32" s="9">
        <f>(E10*F4)-K11</f>
        <v>-588</v>
      </c>
      <c r="F32" s="141"/>
      <c r="G32" s="4"/>
      <c r="H32" s="45" t="s">
        <v>74</v>
      </c>
      <c r="I32" s="110">
        <f>((B16/177)*34)*0.25</f>
        <v>0</v>
      </c>
      <c r="J32" s="122" t="s">
        <v>24</v>
      </c>
      <c r="K32" s="41"/>
      <c r="L32" s="39"/>
      <c r="M32" s="51"/>
    </row>
    <row r="33" spans="1:13" ht="23.4" x14ac:dyDescent="0.45">
      <c r="A33" s="56"/>
      <c r="B33" s="4"/>
      <c r="C33" s="139"/>
      <c r="D33" s="6" t="s">
        <v>75</v>
      </c>
      <c r="E33" s="10">
        <f>(E12*F4)-K19</f>
        <v>-588</v>
      </c>
      <c r="F33" s="141"/>
      <c r="G33" s="4"/>
      <c r="H33" s="29" t="s">
        <v>76</v>
      </c>
      <c r="I33" s="81">
        <f>E14*1.56</f>
        <v>0</v>
      </c>
      <c r="J33" s="82"/>
      <c r="K33" s="46"/>
      <c r="L33" s="39"/>
      <c r="M33" s="51"/>
    </row>
    <row r="34" spans="1:13" ht="21" x14ac:dyDescent="0.35">
      <c r="A34" s="56"/>
      <c r="B34" s="4"/>
      <c r="C34" s="139"/>
      <c r="D34" s="6" t="s">
        <v>77</v>
      </c>
      <c r="E34" s="10">
        <f>(E14*F4)-K27</f>
        <v>-588</v>
      </c>
      <c r="F34" s="141"/>
      <c r="G34" s="4"/>
      <c r="H34" s="15" t="s">
        <v>78</v>
      </c>
      <c r="I34" s="31"/>
      <c r="J34" s="17"/>
      <c r="K34" s="52"/>
      <c r="L34" s="53"/>
      <c r="M34" s="54"/>
    </row>
    <row r="35" spans="1:13" ht="21" x14ac:dyDescent="0.35">
      <c r="A35" s="56"/>
      <c r="B35" s="4"/>
      <c r="C35" s="139"/>
      <c r="D35" s="6" t="s">
        <v>79</v>
      </c>
      <c r="E35" s="10">
        <f>(E16*F4)-K35</f>
        <v>-588</v>
      </c>
      <c r="F35" s="141"/>
      <c r="G35" s="4"/>
      <c r="H35" s="116" t="s">
        <v>80</v>
      </c>
      <c r="I35" s="120">
        <v>0</v>
      </c>
      <c r="J35" s="105" t="s">
        <v>81</v>
      </c>
      <c r="K35" s="113">
        <f>I35+I36+I37+I38+I39+I41+I40</f>
        <v>588</v>
      </c>
      <c r="L35" s="111" t="s">
        <v>6</v>
      </c>
      <c r="M35" s="114">
        <f>I39+I41</f>
        <v>0</v>
      </c>
    </row>
    <row r="36" spans="1:13" ht="23.4" x14ac:dyDescent="0.45">
      <c r="A36" s="56"/>
      <c r="B36" s="4"/>
      <c r="C36" s="139"/>
      <c r="D36" s="157" t="s">
        <v>82</v>
      </c>
      <c r="E36" s="158">
        <f>(E31+E32+E33+E35+E34)+E24</f>
        <v>-6145.5</v>
      </c>
      <c r="F36" s="141"/>
      <c r="G36" s="4"/>
      <c r="H36" s="117" t="s">
        <v>83</v>
      </c>
      <c r="I36" s="121">
        <v>100</v>
      </c>
      <c r="J36" s="106" t="s">
        <v>33</v>
      </c>
      <c r="K36" s="41"/>
      <c r="L36" s="39"/>
      <c r="M36" s="51"/>
    </row>
    <row r="37" spans="1:13" ht="23.4" x14ac:dyDescent="0.45">
      <c r="A37" s="56"/>
      <c r="B37" s="4"/>
      <c r="C37" s="139"/>
      <c r="D37" s="38"/>
      <c r="E37" s="40"/>
      <c r="F37" s="141"/>
      <c r="G37" s="4"/>
      <c r="H37" s="117" t="s">
        <v>84</v>
      </c>
      <c r="I37" s="121">
        <v>0</v>
      </c>
      <c r="J37" s="49" t="s">
        <v>85</v>
      </c>
      <c r="K37" s="41"/>
      <c r="L37" s="39"/>
      <c r="M37" s="51"/>
    </row>
    <row r="38" spans="1:13" ht="23.4" x14ac:dyDescent="0.45">
      <c r="A38" s="56"/>
      <c r="B38" s="4"/>
      <c r="C38" s="142"/>
      <c r="D38" s="143"/>
      <c r="E38" s="143"/>
      <c r="F38" s="144"/>
      <c r="G38" s="4"/>
      <c r="H38" s="117" t="s">
        <v>86</v>
      </c>
      <c r="I38" s="121">
        <v>488</v>
      </c>
      <c r="J38" s="49" t="s">
        <v>17</v>
      </c>
      <c r="K38" s="41"/>
      <c r="L38" s="39"/>
      <c r="M38" s="51"/>
    </row>
    <row r="39" spans="1:13" ht="23.4" x14ac:dyDescent="0.45">
      <c r="A39" s="56"/>
      <c r="B39" s="4"/>
      <c r="C39" s="2"/>
      <c r="D39" s="4"/>
      <c r="E39" s="4"/>
      <c r="F39" s="4"/>
      <c r="G39" s="4"/>
      <c r="H39" s="118" t="s">
        <v>87</v>
      </c>
      <c r="I39" s="121">
        <f>((B19/177)*17)*0.25</f>
        <v>0</v>
      </c>
      <c r="J39" s="49" t="s">
        <v>20</v>
      </c>
      <c r="K39" s="41"/>
      <c r="L39" s="39"/>
      <c r="M39" s="51"/>
    </row>
    <row r="40" spans="1:13" ht="23.4" x14ac:dyDescent="0.45">
      <c r="A40" s="56"/>
      <c r="B40" s="4"/>
      <c r="C40" s="2"/>
      <c r="D40" s="90" t="s">
        <v>88</v>
      </c>
      <c r="E40" s="89">
        <f>M3+M11+M19+B54+M27+M35</f>
        <v>0</v>
      </c>
      <c r="F40" s="4"/>
      <c r="G40" s="4"/>
      <c r="H40" s="119" t="s">
        <v>89</v>
      </c>
      <c r="I40" s="87">
        <f>((B19/177)*34)*0.25</f>
        <v>0</v>
      </c>
      <c r="J40" s="49" t="s">
        <v>24</v>
      </c>
      <c r="K40" s="41"/>
      <c r="L40" s="12"/>
      <c r="M40" s="55"/>
    </row>
    <row r="41" spans="1:13" ht="18" x14ac:dyDescent="0.35">
      <c r="A41" s="56"/>
      <c r="B41" s="4"/>
      <c r="C41" s="2"/>
      <c r="D41" s="4"/>
      <c r="E41" s="4"/>
      <c r="F41" s="4"/>
      <c r="G41" s="4"/>
      <c r="H41" s="88" t="s">
        <v>76</v>
      </c>
      <c r="I41" s="87">
        <f>E16*1.56</f>
        <v>0</v>
      </c>
      <c r="J41" s="82"/>
      <c r="K41" s="4"/>
      <c r="L41" s="4"/>
      <c r="M41" s="57"/>
    </row>
    <row r="42" spans="1:13" ht="23.4" x14ac:dyDescent="0.45">
      <c r="A42" s="151" t="s">
        <v>90</v>
      </c>
      <c r="B42" s="152"/>
      <c r="C42" s="153"/>
      <c r="D42" s="154"/>
      <c r="E42" s="97"/>
      <c r="F42" s="97"/>
      <c r="G42" s="97"/>
      <c r="H42" s="53"/>
      <c r="I42" s="4"/>
      <c r="J42" s="4"/>
      <c r="K42" s="46"/>
      <c r="L42" s="39"/>
      <c r="M42" s="51"/>
    </row>
    <row r="43" spans="1:13" x14ac:dyDescent="0.3">
      <c r="A43" s="98"/>
      <c r="B43" s="96"/>
      <c r="C43" s="99"/>
      <c r="D43" s="96"/>
      <c r="E43" s="96"/>
      <c r="F43" s="96"/>
      <c r="G43" s="96"/>
      <c r="H43" s="100"/>
      <c r="I43" s="100"/>
      <c r="J43" s="100"/>
      <c r="K43" s="101"/>
      <c r="L43" s="101"/>
      <c r="M43" s="102"/>
    </row>
    <row r="45" spans="1:13" ht="22.5" customHeight="1" x14ac:dyDescent="0.3"/>
  </sheetData>
  <pageMargins left="0.25" right="0.2" top="0.25" bottom="0.25" header="0.3" footer="0.05"/>
  <pageSetup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2022-01-24T18:30:52Z</dcterms:modified>
  <cp:category/>
  <cp:contentStatus/>
</cp:coreProperties>
</file>