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240" windowWidth="23600" windowHeight="14620" activeTab="1"/>
  </bookViews>
  <sheets>
    <sheet name="Abundance Data" sheetId="1" r:id="rId1"/>
    <sheet name="Incidence 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<sst xmlns="http://schemas.openxmlformats.org/spreadsheetml/2006/main" count="52" uniqueCount="38">
  <si>
    <t>NOTE:To run the case (g&lt;1), you must first run the first part (g=1)</t>
  </si>
  <si>
    <r>
      <t>Data input</t>
    </r>
    <r>
      <rPr>
        <sz val="12"/>
        <rFont val="新細明體"/>
        <family val="1"/>
      </rPr>
      <t>：</t>
    </r>
  </si>
  <si>
    <r>
      <t>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</si>
  <si>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t>x min. in plot=</t>
  </si>
  <si>
    <r>
      <t>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</si>
  <si>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x max. in plot=</t>
  </si>
  <si>
    <t>n=</t>
  </si>
  <si>
    <r>
      <t>h(x)=2f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</si>
  <si>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v(x)=exp(x*2f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/f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</si>
  <si>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x</t>
  </si>
  <si>
    <t>h(x)</t>
  </si>
  <si>
    <t>v(x)</t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</si>
  <si>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</si>
  <si>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</si>
  <si>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(1) First Part (g=1)</t>
  </si>
  <si>
    <t>Use Newton Method to solve h(x)=v(x)</t>
  </si>
  <si>
    <r>
      <t>initial x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</si>
  <si>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t>Iteration</t>
  </si>
  <si>
    <t>x*</t>
  </si>
  <si>
    <t>x*=</t>
  </si>
  <si>
    <t>m=nx*=</t>
  </si>
  <si>
    <t>(2) Second Part (g&lt;1)</t>
  </si>
  <si>
    <t>g=</t>
  </si>
  <si>
    <t>Data input:</t>
  </si>
  <si>
    <t>T (optional)</t>
  </si>
  <si>
    <r>
      <t>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=</t>
    </r>
  </si>
  <si>
    <r>
      <t>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=</t>
    </r>
  </si>
  <si>
    <t>t=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</si>
  <si>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=nx*=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</si>
  <si>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</si>
  <si>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</si>
  <si>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r>
      <t>f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</si>
  <si>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obs</t>
    </r>
    <r>
      <rPr>
        <sz val="12"/>
        <rFont val="Times New Roman"/>
        <family val="1"/>
      </rPr>
      <t>=</t>
    </r>
  </si>
  <si>
    <r>
      <t>S</t>
    </r>
    <r>
      <rPr>
        <vertAlign val="subscript"/>
        <sz val="12"/>
        <rFont val="Times New Roman"/>
        <family val="1"/>
      </rPr>
      <t>est</t>
    </r>
    <r>
      <rPr>
        <sz val="12"/>
        <rFont val="Times New Roman"/>
        <family val="1"/>
      </rPr>
      <t>=</t>
    </r>
  </si>
  <si>
    <t>m=tx*=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</si>
  <si>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=tx*=</t>
    </r>
  </si>
  <si>
    <r>
      <t>h(x)=2*Q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(1+x)</t>
    </r>
  </si>
  <si>
    <r>
      <t>v(x)=exp(x*2Q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/((1-1/t)Q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+2Q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/t))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</si>
</sst>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.000_);[Red]\(0.000\)"/>
    <numFmt numFmtId="182" formatCode="0.000000_);[Red]\(0.000000\)"/>
    <numFmt numFmtId="183" formatCode="0.000000_ "/>
  </numFmts>
  <fonts count="13">
    <font>
      <sz val="12"/>
      <name val="新細明體"/>
      <family val="1"/>
    </font>
    <font>
      <sz val="9"/>
      <name val="新細明體"/>
      <family val="1"/>
    </font>
    <font>
      <sz val="11.25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61"/>
      <name val="新細明體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76" fontId="9" fillId="2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0" fillId="3" borderId="1" xfId="0" applyFont="1" applyFill="1" applyBorder="1" applyAlignment="1" applyProtection="1">
      <alignment horizontal="left"/>
      <protection locked="0"/>
    </xf>
    <xf numFmtId="176" fontId="10" fillId="3" borderId="1" xfId="0" applyNumberFormat="1" applyFont="1" applyFill="1" applyBorder="1" applyAlignment="1" applyProtection="1">
      <alignment horizontal="center"/>
      <protection locked="0"/>
    </xf>
    <xf numFmtId="181" fontId="11" fillId="0" borderId="0" xfId="0" applyNumberFormat="1" applyFont="1" applyAlignment="1">
      <alignment horizontal="left"/>
    </xf>
    <xf numFmtId="0" fontId="9" fillId="4" borderId="0" xfId="0" applyFont="1" applyFill="1" applyAlignment="1">
      <alignment/>
    </xf>
    <xf numFmtId="181" fontId="12" fillId="4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6" fontId="11" fillId="0" borderId="0" xfId="0" applyNumberFormat="1" applyFont="1" applyAlignment="1">
      <alignment horizontal="left"/>
    </xf>
    <xf numFmtId="177" fontId="11" fillId="0" borderId="0" xfId="0" applyNumberFormat="1" applyFont="1" applyAlignment="1">
      <alignment horizontal="left"/>
    </xf>
    <xf numFmtId="49" fontId="9" fillId="4" borderId="0" xfId="0" applyNumberFormat="1" applyFont="1" applyFill="1" applyAlignment="1">
      <alignment horizontal="left"/>
    </xf>
    <xf numFmtId="177" fontId="12" fillId="4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183" fontId="11" fillId="0" borderId="0" xfId="0" applyNumberFormat="1" applyFont="1" applyAlignment="1">
      <alignment horizontal="left"/>
    </xf>
    <xf numFmtId="176" fontId="6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3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76" fontId="11" fillId="0" borderId="2" xfId="0" applyNumberFormat="1" applyFont="1" applyBorder="1" applyAlignment="1">
      <alignment horizontal="left"/>
    </xf>
    <xf numFmtId="181" fontId="11" fillId="0" borderId="0" xfId="0" applyNumberFormat="1" applyFont="1" applyBorder="1" applyAlignment="1">
      <alignment horizontal="left"/>
    </xf>
    <xf numFmtId="182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5"/>
          <c:w val="0.959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'Abundance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Data'!$E$9:$E$68</c:f>
              <c:numCache/>
            </c:numRef>
          </c:val>
          <c:smooth val="0"/>
        </c:ser>
        <c:ser>
          <c:idx val="1"/>
          <c:order val="1"/>
          <c:tx>
            <c:strRef>
              <c:f>'Abundance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'Abundance Data'!$D$9:$D$68</c:f>
              <c:numCache/>
            </c:numRef>
          </c:cat>
          <c:val>
            <c:numRef>
              <c:f>'Abundance Data'!$F$9:$F$68</c:f>
              <c:numCache/>
            </c:numRef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446912"/>
        <c:crosses val="autoZero"/>
        <c:auto val="1"/>
        <c:lblOffset val="100"/>
        <c:noMultiLvlLbl val="0"/>
      </c:catAx>
      <c:valAx>
        <c:axId val="46446912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573565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"/>
          <c:w val="0.35925"/>
          <c:h val="0.0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025"/>
          <c:w val="0.936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'Incidence Data'!$E$8</c:f>
              <c:strCache>
                <c:ptCount val="1"/>
                <c:pt idx="0">
                  <c:v>h(x)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Data'!$E$9:$E$68</c:f>
              <c:numCache/>
            </c:numRef>
          </c:val>
          <c:smooth val="0"/>
        </c:ser>
        <c:ser>
          <c:idx val="1"/>
          <c:order val="1"/>
          <c:tx>
            <c:strRef>
              <c:f>'Incidence Data'!$F$8</c:f>
              <c:strCache>
                <c:ptCount val="1"/>
                <c:pt idx="0">
                  <c:v>v(x)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'Incidence Data'!$D$9:$D$68</c:f>
              <c:numCache/>
            </c:numRef>
          </c:cat>
          <c:val>
            <c:numRef>
              <c:f>'Incidence Data'!$F$9:$F$68</c:f>
              <c:numCache/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103498"/>
        <c:crosses val="autoZero"/>
        <c:auto val="1"/>
        <c:lblOffset val="100"/>
        <c:noMultiLvlLbl val="0"/>
      </c:catAx>
      <c:valAx>
        <c:axId val="4103498"/>
        <c:scaling>
          <c:orientation val="minMax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15369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"/>
          <c:w val="0.363"/>
          <c:h val="0.0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</xdr:row>
      <xdr:rowOff>38100</xdr:rowOff>
    </xdr:from>
    <xdr:to>
      <xdr:col>12</xdr:col>
      <xdr:colOff>485775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6419850" y="838200"/>
        <a:ext cx="43529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161925</xdr:rowOff>
    </xdr:from>
    <xdr:to>
      <xdr:col>12</xdr:col>
      <xdr:colOff>438150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315200" y="733425"/>
        <a:ext cx="4381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7.625" style="8" customWidth="1"/>
    <col min="4" max="4" width="14.00390625" style="8" customWidth="1"/>
    <col min="5" max="5" width="12.375" style="1" customWidth="1"/>
    <col min="6" max="6" width="16.125" style="1" customWidth="1"/>
    <col min="7" max="16384" width="8.875" style="8" customWidth="1"/>
  </cols>
  <sheetData>
    <row r="1" spans="1:5" ht="15">
      <c r="A1" s="5" t="s">
        <v>0</v>
      </c>
      <c r="B1" s="6"/>
      <c r="C1" s="6"/>
      <c r="D1" s="6"/>
      <c r="E1" s="7"/>
    </row>
    <row r="4" ht="15">
      <c r="A4" s="9" t="s">
        <v>1</v>
      </c>
    </row>
    <row r="5" spans="1:5" ht="16.5">
      <c r="A5" s="10" t="s">
        <v>2</v>
      </c>
      <c r="B5" s="11">
        <v>3</v>
      </c>
      <c r="D5" s="9" t="s">
        <v>3</v>
      </c>
      <c r="E5" s="12">
        <v>1.5</v>
      </c>
    </row>
    <row r="6" spans="1:5" ht="16.5">
      <c r="A6" s="10" t="s">
        <v>4</v>
      </c>
      <c r="B6" s="11">
        <v>2</v>
      </c>
      <c r="D6" s="9" t="s">
        <v>5</v>
      </c>
      <c r="E6" s="12">
        <v>2.5</v>
      </c>
    </row>
    <row r="7" spans="1:6" ht="16.5">
      <c r="A7" s="10" t="s">
        <v>6</v>
      </c>
      <c r="B7" s="11">
        <v>161</v>
      </c>
      <c r="E7" s="1" t="s">
        <v>7</v>
      </c>
      <c r="F7" s="4" t="s">
        <v>8</v>
      </c>
    </row>
    <row r="8" spans="1:6" ht="16.5">
      <c r="A8" s="10" t="s">
        <v>29</v>
      </c>
      <c r="B8" s="11">
        <v>9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30</v>
      </c>
      <c r="B9" s="30">
        <f>IF(B8&gt;0,B8+B10,"(S_obs must be keyed in)")</f>
        <v>11.25</v>
      </c>
      <c r="D9" s="1">
        <f>E5</f>
        <v>1.5</v>
      </c>
      <c r="E9" s="1">
        <f>2*$B$5*(1+D9)</f>
        <v>15</v>
      </c>
      <c r="F9" s="1">
        <f>EXP(D9*2*$B$6/$B$5)</f>
        <v>7.38905609893065</v>
      </c>
    </row>
    <row r="10" spans="1:6" ht="16.5">
      <c r="A10" s="10" t="s">
        <v>31</v>
      </c>
      <c r="B10" s="31">
        <f>IF(B8&gt;0,IF(B6&gt;0,B5*B5/2/B6,B5*(B5-1)/2),"(S_obs must be keyed in)")</f>
        <v>2.25</v>
      </c>
      <c r="D10" s="1">
        <f>D9+($E$6-$E$5)/59</f>
        <v>1.5169491525423728</v>
      </c>
      <c r="E10" s="1">
        <f aca="true" t="shared" si="0" ref="E10:E68">2*$B$5*(1+D10)</f>
        <v>15.101694915254237</v>
      </c>
      <c r="F10" s="1">
        <f aca="true" t="shared" si="1" ref="F10:F68">EXP(D10*2*$B$6/$B$5)</f>
        <v>7.557941540072582</v>
      </c>
    </row>
    <row r="11" spans="1:6" ht="16.5">
      <c r="A11" s="10" t="s">
        <v>13</v>
      </c>
      <c r="B11" s="32">
        <f>IF(B7&gt;0,B5/B7,"(n must be keyed in)")</f>
        <v>0.018633540372670808</v>
      </c>
      <c r="D11" s="1">
        <f aca="true" t="shared" si="2" ref="D11:D68">D10+($E$6-$E$5)/59</f>
        <v>1.5338983050847457</v>
      </c>
      <c r="E11" s="1">
        <f t="shared" si="0"/>
        <v>15.203389830508474</v>
      </c>
      <c r="F11" s="1">
        <f t="shared" si="1"/>
        <v>7.730687053711982</v>
      </c>
    </row>
    <row r="12" spans="1:6" ht="15">
      <c r="A12" s="9"/>
      <c r="B12" s="13"/>
      <c r="D12" s="1">
        <f t="shared" si="2"/>
        <v>1.5508474576271185</v>
      </c>
      <c r="E12" s="1">
        <f t="shared" si="0"/>
        <v>15.305084745762711</v>
      </c>
      <c r="F12" s="1">
        <f t="shared" si="1"/>
        <v>7.907380866279641</v>
      </c>
    </row>
    <row r="13" spans="1:6" ht="15">
      <c r="A13" s="14" t="s">
        <v>14</v>
      </c>
      <c r="B13" s="15"/>
      <c r="D13" s="1">
        <f t="shared" si="2"/>
        <v>1.5677966101694913</v>
      </c>
      <c r="E13" s="1">
        <f t="shared" si="0"/>
        <v>15.406779661016948</v>
      </c>
      <c r="F13" s="1">
        <f t="shared" si="1"/>
        <v>8.088113220723692</v>
      </c>
    </row>
    <row r="14" spans="1:6" ht="15">
      <c r="A14" s="16" t="s">
        <v>15</v>
      </c>
      <c r="D14" s="1">
        <f t="shared" si="2"/>
        <v>1.5847457627118642</v>
      </c>
      <c r="E14" s="1">
        <f t="shared" si="0"/>
        <v>15.508474576271185</v>
      </c>
      <c r="F14" s="1">
        <f t="shared" si="1"/>
        <v>8.272976422599438</v>
      </c>
    </row>
    <row r="15" spans="1:6" ht="16.5">
      <c r="A15" s="9" t="s">
        <v>16</v>
      </c>
      <c r="B15" s="11">
        <v>2</v>
      </c>
      <c r="D15" s="1">
        <f t="shared" si="2"/>
        <v>1.601694915254237</v>
      </c>
      <c r="E15" s="1">
        <f t="shared" si="0"/>
        <v>15.610169491525422</v>
      </c>
      <c r="F15" s="1">
        <f t="shared" si="1"/>
        <v>8.462064887212625</v>
      </c>
    </row>
    <row r="16" spans="1:6" ht="15">
      <c r="A16" s="3" t="s">
        <v>17</v>
      </c>
      <c r="B16" s="3" t="s">
        <v>18</v>
      </c>
      <c r="D16" s="1">
        <f t="shared" si="2"/>
        <v>1.6186440677966099</v>
      </c>
      <c r="E16" s="1">
        <f t="shared" si="0"/>
        <v>15.71186440677966</v>
      </c>
      <c r="F16" s="1">
        <f t="shared" si="1"/>
        <v>8.65547518784025</v>
      </c>
    </row>
    <row r="17" spans="1:6" ht="15">
      <c r="A17" s="3">
        <v>1</v>
      </c>
      <c r="B17" s="3">
        <f>IF(B10&gt;0.5,IF(ABS(B15)&gt;0,B15-(2*$B$5*(1+B15)-EXP(2*$B$6/$B$5*B15))/(2*$B$5-EXP(2*$B$6/$B$5*B15)*2*$B$6/$B$5),""),0)</f>
        <v>2.273563069339457</v>
      </c>
      <c r="D17" s="1">
        <f t="shared" si="2"/>
        <v>1.6355932203389827</v>
      </c>
      <c r="E17" s="1">
        <f t="shared" si="0"/>
        <v>15.813559322033896</v>
      </c>
      <c r="F17" s="1">
        <f t="shared" si="1"/>
        <v>8.85330610505348</v>
      </c>
    </row>
    <row r="18" spans="1:6" ht="15">
      <c r="A18" s="3">
        <v>2</v>
      </c>
      <c r="B18" s="3">
        <f>IF(B10&gt;0.5,IF(ABS(B15)&gt;0,B17-(2*$B$5*(1+B17)-EXP(2*$B$6/$B$5*B17))/(2*$B$5-EXP(2*$B$6/$B$5*B17)*2*$B$6/$B$5),""),0)</f>
        <v>2.2234041132576543</v>
      </c>
      <c r="D18" s="1">
        <f t="shared" si="2"/>
        <v>1.6525423728813555</v>
      </c>
      <c r="E18" s="1">
        <f t="shared" si="0"/>
        <v>15.915254237288133</v>
      </c>
      <c r="F18" s="1">
        <f t="shared" si="1"/>
        <v>9.055658677167923</v>
      </c>
    </row>
    <row r="19" spans="1:6" ht="15">
      <c r="A19" s="3">
        <v>3</v>
      </c>
      <c r="B19" s="3">
        <f>IF(B10&gt;0.5,IF(ABS(B15)&gt;0,B18-(2*$B$5*(1+B18)-EXP(2*$B$6/$B$5*B18))/(2*$B$5-EXP(2*$B$6/$B$5*B18)*2*$B$6/$B$5),""),0)</f>
        <v>2.221119910400323</v>
      </c>
      <c r="D19" s="1">
        <f t="shared" si="2"/>
        <v>1.6694915254237284</v>
      </c>
      <c r="E19" s="1">
        <f t="shared" si="0"/>
        <v>16.01694915254237</v>
      </c>
      <c r="F19" s="1">
        <f t="shared" si="1"/>
        <v>9.262636251846994</v>
      </c>
    </row>
    <row r="20" spans="1:6" ht="15">
      <c r="A20" s="3">
        <v>4</v>
      </c>
      <c r="B20" s="3">
        <f>IF(B10&gt;0.5,IF(ABS(B15)&gt;0,B19-(2*$B$5*(1+B19)-EXP(2*$B$6/$B$5*B19))/(2*$B$5-EXP(2*$B$6/$B$5*B19)*2*$B$6/$B$5),""),0)</f>
        <v>2.2211153670895327</v>
      </c>
      <c r="D20" s="1">
        <f t="shared" si="2"/>
        <v>1.6864406779661012</v>
      </c>
      <c r="E20" s="1">
        <f t="shared" si="0"/>
        <v>16.11864406779661</v>
      </c>
      <c r="F20" s="1">
        <f t="shared" si="1"/>
        <v>9.474344538884745</v>
      </c>
    </row>
    <row r="21" spans="1:6" ht="15">
      <c r="A21" s="3">
        <v>5</v>
      </c>
      <c r="B21" s="3">
        <f>IF(B10&gt;0.5,IF(ABS(B15)&gt;0,B20-(2*$B$5*(1+B20)-EXP(2*$B$6/$B$5*B20))/(2*$B$5-EXP(2*$B$6/$B$5*B20)*2*$B$6/$B$5),""),0)</f>
        <v>2.221115367071595</v>
      </c>
      <c r="D21" s="1">
        <f t="shared" si="2"/>
        <v>1.703389830508474</v>
      </c>
      <c r="E21" s="1">
        <f t="shared" si="0"/>
        <v>16.220338983050844</v>
      </c>
      <c r="F21" s="1">
        <f t="shared" si="1"/>
        <v>9.690891664195076</v>
      </c>
    </row>
    <row r="22" spans="1:6" ht="15">
      <c r="A22" s="3">
        <v>6</v>
      </c>
      <c r="B22" s="3">
        <f>IF(B10&gt;0.5,IF(ABS(B15)&gt;0,B21-(2*$B$5*(1+B21)-EXP(2*$B$6/$B$5*B21))/(2*$B$5-EXP(2*$B$6/$B$5*B21)*2*$B$6/$B$5),""),0)</f>
        <v>2.221115367071595</v>
      </c>
      <c r="D22" s="1">
        <f t="shared" si="2"/>
        <v>1.7203389830508469</v>
      </c>
      <c r="E22" s="1">
        <f t="shared" si="0"/>
        <v>16.32203389830508</v>
      </c>
      <c r="F22" s="1">
        <f t="shared" si="1"/>
        <v>9.912388225034979</v>
      </c>
    </row>
    <row r="23" spans="1:6" ht="15">
      <c r="A23" s="3">
        <v>7</v>
      </c>
      <c r="B23" s="3">
        <f>IF(B10&gt;0.5,IF(ABS(B15)&gt;0,B22-(2*$B$5*(1+B22)-EXP(2*$B$6/$B$5*B22))/(2*$B$5-EXP(2*$B$6/$B$5*B22)*2*$B$6/$B$5),""),0)</f>
        <v>2.221115367071595</v>
      </c>
      <c r="D23" s="1">
        <f t="shared" si="2"/>
        <v>1.7372881355932197</v>
      </c>
      <c r="E23" s="1">
        <f t="shared" si="0"/>
        <v>16.42372881355932</v>
      </c>
      <c r="F23" s="1">
        <f t="shared" si="1"/>
        <v>10.138947346489942</v>
      </c>
    </row>
    <row r="24" spans="1:6" ht="15">
      <c r="A24" s="3">
        <v>8</v>
      </c>
      <c r="B24" s="3">
        <f>IF(B10&gt;0.5,IF(ABS(B15)&gt;0,B23-(2*$B$5*(1+B23)-EXP(2*$B$6/$B$5*B23))/(2*$B$5-EXP(2*$B$6/$B$5*B23)*2*$B$6/$B$5),""),0)</f>
        <v>2.221115367071595</v>
      </c>
      <c r="D24" s="1">
        <f t="shared" si="2"/>
        <v>1.7542372881355925</v>
      </c>
      <c r="E24" s="1">
        <f t="shared" si="0"/>
        <v>16.525423728813557</v>
      </c>
      <c r="F24" s="1">
        <f t="shared" si="1"/>
        <v>10.370684739250375</v>
      </c>
    </row>
    <row r="25" spans="1:6" ht="15">
      <c r="A25" s="3">
        <v>9</v>
      </c>
      <c r="B25" s="3">
        <f>IF(B10&gt;0.5,IF(ABS(B15)&gt;0,B24-(2*$B$5*(1+B24)-EXP(2*$B$6/$B$5*B24))/(2*$B$5-EXP(2*$B$6/$B$5*B24)*2*$B$6/$B$5),""),0)</f>
        <v>2.221115367071595</v>
      </c>
      <c r="D25" s="1">
        <f t="shared" si="2"/>
        <v>1.7711864406779654</v>
      </c>
      <c r="E25" s="1">
        <f t="shared" si="0"/>
        <v>16.627118644067792</v>
      </c>
      <c r="F25" s="1">
        <f t="shared" si="1"/>
        <v>10.607718758708648</v>
      </c>
    </row>
    <row r="26" spans="1:6" ht="15">
      <c r="A26" s="3">
        <v>10</v>
      </c>
      <c r="B26" s="3">
        <f>IF(B10&gt;0.5,IF(ABS(B15)&gt;0,B25-(2*$B$5*(1+B25)-EXP(2*$B$6/$B$5*B25))/(2*$B$5-EXP(2*$B$6/$B$5*B25)*2*$B$6/$B$5),""),0)</f>
        <v>2.221115367071595</v>
      </c>
      <c r="D26" s="1">
        <f t="shared" si="2"/>
        <v>1.7881355932203382</v>
      </c>
      <c r="E26" s="1">
        <f t="shared" si="0"/>
        <v>16.728813559322028</v>
      </c>
      <c r="F26" s="1">
        <f t="shared" si="1"/>
        <v>10.850170465406796</v>
      </c>
    </row>
    <row r="27" spans="1:6" ht="15">
      <c r="A27" s="9" t="s">
        <v>19</v>
      </c>
      <c r="B27" s="17">
        <f>IF(B10&gt;0.5,IF(ABS(B15)&gt;0,IF(ABS(B26-B25)/B25&lt;0.0001,B26,"Not converge!!"),""),0)</f>
        <v>2.221115367071595</v>
      </c>
      <c r="D27" s="1">
        <f t="shared" si="2"/>
        <v>1.805084745762711</v>
      </c>
      <c r="E27" s="1">
        <f t="shared" si="0"/>
        <v>16.830508474576266</v>
      </c>
      <c r="F27" s="1">
        <f t="shared" si="1"/>
        <v>11.098163686865837</v>
      </c>
    </row>
    <row r="28" spans="1:6" ht="15">
      <c r="A28" s="9" t="s">
        <v>20</v>
      </c>
      <c r="B28" s="18">
        <f>IF(B10&gt;0.5,IF(ABS(B15)&gt;0,IF(ABS(B26-B25)/B25&lt;0.0001,IF(B27&gt;0,B7*B27,"Change initial and try again!!"),"Change initial and try again!!"),""),0)</f>
        <v>357.59957409852683</v>
      </c>
      <c r="D28" s="1">
        <f t="shared" si="2"/>
        <v>1.8220338983050839</v>
      </c>
      <c r="E28" s="1">
        <f t="shared" si="0"/>
        <v>16.932203389830505</v>
      </c>
      <c r="F28" s="1">
        <f t="shared" si="1"/>
        <v>11.351825080828316</v>
      </c>
    </row>
    <row r="29" spans="1:6" ht="15">
      <c r="A29" s="9"/>
      <c r="B29" s="19"/>
      <c r="D29" s="1">
        <f t="shared" si="2"/>
        <v>1.8389830508474567</v>
      </c>
      <c r="E29" s="1">
        <f t="shared" si="0"/>
        <v>17.03389830508474</v>
      </c>
      <c r="F29" s="1">
        <f t="shared" si="1"/>
        <v>11.611284199946281</v>
      </c>
    </row>
    <row r="30" spans="1:6" ht="15">
      <c r="A30" s="9"/>
      <c r="B30" s="19"/>
      <c r="D30" s="1">
        <f t="shared" si="2"/>
        <v>1.8559322033898296</v>
      </c>
      <c r="E30" s="1">
        <f t="shared" si="0"/>
        <v>17.135593220338976</v>
      </c>
      <c r="F30" s="1">
        <f t="shared" si="1"/>
        <v>11.87667355794778</v>
      </c>
    </row>
    <row r="31" spans="1:6" ht="15">
      <c r="A31" s="20" t="s">
        <v>21</v>
      </c>
      <c r="B31" s="21"/>
      <c r="D31" s="1">
        <f t="shared" si="2"/>
        <v>1.8728813559322024</v>
      </c>
      <c r="E31" s="1">
        <f t="shared" si="0"/>
        <v>17.237288135593214</v>
      </c>
      <c r="F31" s="1">
        <f t="shared" si="1"/>
        <v>12.148128697315718</v>
      </c>
    </row>
    <row r="32" spans="1:6" ht="15">
      <c r="A32" s="9" t="s">
        <v>22</v>
      </c>
      <c r="B32" s="11">
        <v>0.95</v>
      </c>
      <c r="D32" s="1">
        <f t="shared" si="2"/>
        <v>1.8898305084745752</v>
      </c>
      <c r="E32" s="1">
        <f t="shared" si="0"/>
        <v>17.338983050847453</v>
      </c>
      <c r="F32" s="1">
        <f t="shared" si="1"/>
        <v>12.425788258513538</v>
      </c>
    </row>
    <row r="33" spans="1:6" ht="15">
      <c r="A33" s="22" t="str">
        <f>CONCATENATE("　  　 　( g must be greater than ",IF(B8&gt;0,IF(B10&gt;0.5,FIXED(B8/B9,3,TRUE),1),0)," )")</f>
        <v>　  　 　( g must be greater than 0.800 )</v>
      </c>
      <c r="D33" s="1">
        <f t="shared" si="2"/>
        <v>1.906779661016948</v>
      </c>
      <c r="E33" s="1">
        <f t="shared" si="0"/>
        <v>17.44067796610169</v>
      </c>
      <c r="F33" s="1">
        <f t="shared" si="1"/>
        <v>12.70979405079315</v>
      </c>
    </row>
    <row r="34" spans="1:6" ht="15">
      <c r="A34" s="9" t="s">
        <v>19</v>
      </c>
      <c r="B34" s="23">
        <f>IF(B8*B32&gt;0,IF(B32&lt;1,IF(B10&gt;0.5,MIN(B5/2/B6*LN(B10/B9/(1-B32)),B27),0),""),"")</f>
        <v>1.0397207708399174</v>
      </c>
      <c r="D34" s="1">
        <f t="shared" si="2"/>
        <v>1.923728813559321</v>
      </c>
      <c r="E34" s="1">
        <f t="shared" si="0"/>
        <v>17.542372881355924</v>
      </c>
      <c r="F34" s="1">
        <f t="shared" si="1"/>
        <v>13.000291124621286</v>
      </c>
    </row>
    <row r="35" spans="1:6" ht="16.5">
      <c r="A35" s="9" t="s">
        <v>28</v>
      </c>
      <c r="B35" s="13">
        <f>IF(B8*B32&gt;0,IF(B32&lt;1,IF(B10&gt;0.5,IF((B7*B34)&gt;0,B7*B34,"diverge!!"),0),""),"")</f>
        <v>167.3950441052267</v>
      </c>
      <c r="D35" s="1">
        <f t="shared" si="2"/>
        <v>1.9406779661016937</v>
      </c>
      <c r="E35" s="1">
        <f t="shared" si="0"/>
        <v>17.644067796610162</v>
      </c>
      <c r="F35" s="1">
        <f t="shared" si="1"/>
        <v>13.297427845761215</v>
      </c>
    </row>
    <row r="36" spans="4:6" ht="15">
      <c r="D36" s="1">
        <f t="shared" si="2"/>
        <v>1.9576271186440666</v>
      </c>
      <c r="E36" s="1">
        <f t="shared" si="0"/>
        <v>17.7457627118644</v>
      </c>
      <c r="F36" s="1">
        <f t="shared" si="1"/>
        <v>13.601355971047663</v>
      </c>
    </row>
    <row r="37" spans="4:6" ht="15">
      <c r="D37" s="1">
        <f t="shared" si="2"/>
        <v>1.9745762711864394</v>
      </c>
      <c r="E37" s="1">
        <f t="shared" si="0"/>
        <v>17.847457627118636</v>
      </c>
      <c r="F37" s="1">
        <f t="shared" si="1"/>
        <v>13.912230725893721</v>
      </c>
    </row>
    <row r="38" spans="4:6" ht="15">
      <c r="D38" s="1">
        <f t="shared" si="2"/>
        <v>1.9915254237288122</v>
      </c>
      <c r="E38" s="1">
        <f t="shared" si="0"/>
        <v>17.94915254237287</v>
      </c>
      <c r="F38" s="1">
        <f t="shared" si="1"/>
        <v>14.230210883569201</v>
      </c>
    </row>
    <row r="39" spans="4:6" ht="15">
      <c r="D39" s="1">
        <f t="shared" si="2"/>
        <v>2.008474576271185</v>
      </c>
      <c r="E39" s="1">
        <f t="shared" si="0"/>
        <v>18.05084745762711</v>
      </c>
      <c r="F39" s="1">
        <f t="shared" si="1"/>
        <v>14.555458846291005</v>
      </c>
    </row>
    <row r="40" spans="4:6" ht="15">
      <c r="D40" s="1">
        <f t="shared" si="2"/>
        <v>2.025423728813558</v>
      </c>
      <c r="E40" s="1">
        <f t="shared" si="0"/>
        <v>18.15254237288135</v>
      </c>
      <c r="F40" s="1">
        <f t="shared" si="1"/>
        <v>14.888140728166938</v>
      </c>
    </row>
    <row r="41" spans="4:6" ht="15">
      <c r="D41" s="1">
        <f t="shared" si="2"/>
        <v>2.0423728813559308</v>
      </c>
      <c r="E41" s="1">
        <f t="shared" si="0"/>
        <v>18.254237288135585</v>
      </c>
      <c r="F41" s="1">
        <f t="shared" si="1"/>
        <v>15.228426440035273</v>
      </c>
    </row>
    <row r="42" spans="4:6" ht="15">
      <c r="D42" s="1">
        <f t="shared" si="2"/>
        <v>2.0593220338983036</v>
      </c>
      <c r="E42" s="1">
        <f t="shared" si="0"/>
        <v>18.35593220338982</v>
      </c>
      <c r="F42" s="1">
        <f t="shared" si="1"/>
        <v>15.5764897762434</v>
      </c>
    </row>
    <row r="43" spans="4:6" ht="15">
      <c r="D43" s="1">
        <f t="shared" si="2"/>
        <v>2.0762711864406764</v>
      </c>
      <c r="E43" s="1">
        <f t="shared" si="0"/>
        <v>18.45762711864406</v>
      </c>
      <c r="F43" s="1">
        <f t="shared" si="1"/>
        <v>15.932508503409968</v>
      </c>
    </row>
    <row r="44" spans="4:6" ht="15">
      <c r="D44" s="1">
        <f t="shared" si="2"/>
        <v>2.0932203389830493</v>
      </c>
      <c r="E44" s="1">
        <f t="shared" si="0"/>
        <v>18.559322033898297</v>
      </c>
      <c r="F44" s="1">
        <f t="shared" si="1"/>
        <v>16.29666445121573</v>
      </c>
    </row>
    <row r="45" spans="4:6" ht="15">
      <c r="D45" s="1">
        <f t="shared" si="2"/>
        <v>2.110169491525422</v>
      </c>
      <c r="E45" s="1">
        <f t="shared" si="0"/>
        <v>18.661016949152533</v>
      </c>
      <c r="F45" s="1">
        <f t="shared" si="1"/>
        <v>16.669143605269507</v>
      </c>
    </row>
    <row r="46" spans="4:6" ht="15">
      <c r="D46" s="1">
        <f t="shared" si="2"/>
        <v>2.127118644067795</v>
      </c>
      <c r="E46" s="1">
        <f t="shared" si="0"/>
        <v>18.762711864406768</v>
      </c>
      <c r="F46" s="1">
        <f t="shared" si="1"/>
        <v>17.0501362020968</v>
      </c>
    </row>
    <row r="47" spans="4:6" ht="15">
      <c r="D47" s="1">
        <f t="shared" si="2"/>
        <v>2.1440677966101678</v>
      </c>
      <c r="E47" s="1">
        <f t="shared" si="0"/>
        <v>18.864406779661007</v>
      </c>
      <c r="F47" s="1">
        <f t="shared" si="1"/>
        <v>17.439836826299388</v>
      </c>
    </row>
    <row r="48" spans="4:6" ht="15">
      <c r="D48" s="1">
        <f t="shared" si="2"/>
        <v>2.1610169491525406</v>
      </c>
      <c r="E48" s="1">
        <f t="shared" si="0"/>
        <v>18.966101694915245</v>
      </c>
      <c r="F48" s="1">
        <f t="shared" si="1"/>
        <v>17.838444509935616</v>
      </c>
    </row>
    <row r="49" spans="4:6" ht="15">
      <c r="D49" s="1">
        <f t="shared" si="2"/>
        <v>2.1779661016949134</v>
      </c>
      <c r="E49" s="1">
        <f t="shared" si="0"/>
        <v>19.06779661016948</v>
      </c>
      <c r="F49" s="1">
        <f t="shared" si="1"/>
        <v>18.246162834172228</v>
      </c>
    </row>
    <row r="50" spans="4:6" ht="15">
      <c r="D50" s="1">
        <f t="shared" si="2"/>
        <v>2.1949152542372863</v>
      </c>
      <c r="E50" s="1">
        <f t="shared" si="0"/>
        <v>19.169491525423716</v>
      </c>
      <c r="F50" s="1">
        <f t="shared" si="1"/>
        <v>18.6632000332595</v>
      </c>
    </row>
    <row r="51" spans="4:6" ht="15">
      <c r="D51" s="1">
        <f t="shared" si="2"/>
        <v>2.211864406779659</v>
      </c>
      <c r="E51" s="1">
        <f t="shared" si="0"/>
        <v>19.271186440677955</v>
      </c>
      <c r="F51" s="1">
        <f t="shared" si="1"/>
        <v>19.089769100882805</v>
      </c>
    </row>
    <row r="52" spans="4:6" ht="15">
      <c r="D52" s="1">
        <f t="shared" si="2"/>
        <v>2.228813559322032</v>
      </c>
      <c r="E52" s="1">
        <f t="shared" si="0"/>
        <v>19.372881355932194</v>
      </c>
      <c r="F52" s="1">
        <f t="shared" si="1"/>
        <v>19.52608789894509</v>
      </c>
    </row>
    <row r="53" spans="4:6" ht="15">
      <c r="D53" s="1">
        <f t="shared" si="2"/>
        <v>2.245762711864405</v>
      </c>
      <c r="E53" s="1">
        <f t="shared" si="0"/>
        <v>19.47457627118643</v>
      </c>
      <c r="F53" s="1">
        <f t="shared" si="1"/>
        <v>19.972379268835596</v>
      </c>
    </row>
    <row r="54" spans="4:6" ht="15">
      <c r="D54" s="1">
        <f t="shared" si="2"/>
        <v>2.2627118644067776</v>
      </c>
      <c r="E54" s="1">
        <f t="shared" si="0"/>
        <v>19.576271186440664</v>
      </c>
      <c r="F54" s="1">
        <f t="shared" si="1"/>
        <v>20.42887114524176</v>
      </c>
    </row>
    <row r="55" spans="4:6" ht="15">
      <c r="D55" s="1">
        <f t="shared" si="2"/>
        <v>2.2796610169491505</v>
      </c>
      <c r="E55" s="1">
        <f t="shared" si="0"/>
        <v>19.677966101694903</v>
      </c>
      <c r="F55" s="1">
        <f t="shared" si="1"/>
        <v>20.895796672562515</v>
      </c>
    </row>
    <row r="56" spans="4:6" ht="15">
      <c r="D56" s="1">
        <f t="shared" si="2"/>
        <v>2.2966101694915233</v>
      </c>
      <c r="E56" s="1">
        <f t="shared" si="0"/>
        <v>19.77966101694914</v>
      </c>
      <c r="F56" s="1">
        <f t="shared" si="1"/>
        <v>21.373394323982243</v>
      </c>
    </row>
    <row r="57" spans="4:6" ht="15">
      <c r="D57" s="1">
        <f t="shared" si="2"/>
        <v>2.313559322033896</v>
      </c>
      <c r="E57" s="1">
        <f t="shared" si="0"/>
        <v>19.881355932203377</v>
      </c>
      <c r="F57" s="1">
        <f t="shared" si="1"/>
        <v>21.861908023266324</v>
      </c>
    </row>
    <row r="58" spans="4:6" ht="15">
      <c r="D58" s="1">
        <f t="shared" si="2"/>
        <v>2.330508474576269</v>
      </c>
      <c r="E58" s="1">
        <f t="shared" si="0"/>
        <v>19.983050847457612</v>
      </c>
      <c r="F58" s="1">
        <f t="shared" si="1"/>
        <v>22.361587269340525</v>
      </c>
    </row>
    <row r="59" spans="4:6" ht="15">
      <c r="D59" s="1">
        <f t="shared" si="2"/>
        <v>2.347457627118642</v>
      </c>
      <c r="E59" s="1">
        <f t="shared" si="0"/>
        <v>20.08474576271185</v>
      </c>
      <c r="F59" s="1">
        <f t="shared" si="1"/>
        <v>22.87268726371775</v>
      </c>
    </row>
    <row r="60" spans="4:6" ht="15">
      <c r="D60" s="1">
        <f t="shared" si="2"/>
        <v>2.3644067796610146</v>
      </c>
      <c r="E60" s="1">
        <f t="shared" si="0"/>
        <v>20.18644067796609</v>
      </c>
      <c r="F60" s="1">
        <f t="shared" si="1"/>
        <v>23.39546904083722</v>
      </c>
    </row>
    <row r="61" spans="4:6" ht="15">
      <c r="D61" s="1">
        <f t="shared" si="2"/>
        <v>2.3813559322033875</v>
      </c>
      <c r="E61" s="1">
        <f t="shared" si="0"/>
        <v>20.288135593220325</v>
      </c>
      <c r="F61" s="1">
        <f t="shared" si="1"/>
        <v>23.93019960138284</v>
      </c>
    </row>
    <row r="62" spans="4:6" ht="15">
      <c r="D62" s="1">
        <f t="shared" si="2"/>
        <v>2.3983050847457603</v>
      </c>
      <c r="E62" s="1">
        <f t="shared" si="0"/>
        <v>20.38983050847456</v>
      </c>
      <c r="F62" s="1">
        <f t="shared" si="1"/>
        <v>24.477152048648595</v>
      </c>
    </row>
    <row r="63" spans="4:6" ht="15">
      <c r="D63" s="1">
        <f t="shared" si="2"/>
        <v>2.415254237288133</v>
      </c>
      <c r="E63" s="1">
        <f t="shared" si="0"/>
        <v>20.4915254237288</v>
      </c>
      <c r="F63" s="1">
        <f t="shared" si="1"/>
        <v>25.03660572802077</v>
      </c>
    </row>
    <row r="64" spans="4:6" ht="15">
      <c r="D64" s="1">
        <f t="shared" si="2"/>
        <v>2.432203389830506</v>
      </c>
      <c r="E64" s="1">
        <f t="shared" si="0"/>
        <v>20.593220338983038</v>
      </c>
      <c r="F64" s="1">
        <f t="shared" si="1"/>
        <v>25.608846369648234</v>
      </c>
    </row>
    <row r="65" spans="4:6" ht="15">
      <c r="D65" s="1">
        <f t="shared" si="2"/>
        <v>2.449152542372879</v>
      </c>
      <c r="E65" s="1">
        <f t="shared" si="0"/>
        <v>20.694915254237273</v>
      </c>
      <c r="F65" s="1">
        <f t="shared" si="1"/>
        <v>26.19416623437358</v>
      </c>
    </row>
    <row r="66" spans="4:6" ht="15">
      <c r="D66" s="1">
        <f t="shared" si="2"/>
        <v>2.4661016949152517</v>
      </c>
      <c r="E66" s="1">
        <f t="shared" si="0"/>
        <v>20.796610169491508</v>
      </c>
      <c r="F66" s="1">
        <f t="shared" si="1"/>
        <v>26.792864262999657</v>
      </c>
    </row>
    <row r="67" spans="4:6" ht="15">
      <c r="D67" s="1">
        <f t="shared" si="2"/>
        <v>2.4830508474576245</v>
      </c>
      <c r="E67" s="1">
        <f t="shared" si="0"/>
        <v>20.898305084745747</v>
      </c>
      <c r="F67" s="1">
        <f t="shared" si="1"/>
        <v>27.405246228967876</v>
      </c>
    </row>
    <row r="68" spans="4:6" ht="15">
      <c r="D68" s="1">
        <f t="shared" si="2"/>
        <v>2.4999999999999973</v>
      </c>
      <c r="E68" s="1">
        <f t="shared" si="0"/>
        <v>20.999999999999986</v>
      </c>
      <c r="F68" s="1">
        <f t="shared" si="1"/>
        <v>28.03162489452604</v>
      </c>
    </row>
  </sheetData>
  <sheetProtection selectLockedCell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F6" sqref="F6"/>
    </sheetView>
  </sheetViews>
  <sheetFormatPr defaultColWidth="11.00390625" defaultRowHeight="16.5"/>
  <cols>
    <col min="1" max="1" width="11.00390625" style="8" customWidth="1"/>
    <col min="2" max="2" width="20.625" style="8" customWidth="1"/>
    <col min="3" max="3" width="9.625" style="8" customWidth="1"/>
    <col min="4" max="4" width="13.625" style="8" customWidth="1"/>
    <col min="5" max="5" width="12.625" style="1" customWidth="1"/>
    <col min="6" max="6" width="27.00390625" style="1" customWidth="1"/>
    <col min="7" max="16384" width="8.875" style="8" customWidth="1"/>
  </cols>
  <sheetData>
    <row r="1" spans="1:5" ht="15">
      <c r="A1" s="5" t="str">
        <f>'Abundance Data'!A1</f>
        <v>NOTE:To run the case (g&lt;1), you must first run the first part (g=1)</v>
      </c>
      <c r="B1" s="6"/>
      <c r="C1" s="6"/>
      <c r="D1" s="6"/>
      <c r="E1" s="24"/>
    </row>
    <row r="2" ht="15">
      <c r="A2" s="25"/>
    </row>
    <row r="3" ht="15">
      <c r="A3" s="8" t="s">
        <v>23</v>
      </c>
    </row>
    <row r="4" spans="1:2" ht="15">
      <c r="A4" s="9" t="s">
        <v>24</v>
      </c>
      <c r="B4" s="26">
        <v>72</v>
      </c>
    </row>
    <row r="5" spans="1:5" ht="16.5">
      <c r="A5" s="9" t="s">
        <v>25</v>
      </c>
      <c r="B5" s="11">
        <v>4</v>
      </c>
      <c r="D5" s="9" t="s">
        <v>3</v>
      </c>
      <c r="E5" s="12">
        <v>0.1</v>
      </c>
    </row>
    <row r="6" spans="1:5" ht="16.5">
      <c r="A6" s="9" t="s">
        <v>26</v>
      </c>
      <c r="B6" s="11">
        <v>5</v>
      </c>
      <c r="D6" s="9" t="s">
        <v>5</v>
      </c>
      <c r="E6" s="12">
        <v>2</v>
      </c>
    </row>
    <row r="7" spans="1:6" ht="16.5">
      <c r="A7" s="9" t="s">
        <v>27</v>
      </c>
      <c r="B7" s="11">
        <v>16</v>
      </c>
      <c r="E7" s="1" t="s">
        <v>36</v>
      </c>
      <c r="F7" s="2" t="s">
        <v>37</v>
      </c>
    </row>
    <row r="8" spans="1:6" ht="16.5">
      <c r="A8" s="10" t="s">
        <v>32</v>
      </c>
      <c r="B8" s="11">
        <v>20</v>
      </c>
      <c r="D8" s="3" t="s">
        <v>9</v>
      </c>
      <c r="E8" s="4" t="s">
        <v>10</v>
      </c>
      <c r="F8" s="4" t="s">
        <v>11</v>
      </c>
    </row>
    <row r="9" spans="1:6" ht="16.5">
      <c r="A9" s="10" t="s">
        <v>33</v>
      </c>
      <c r="B9" s="30">
        <f>IF(B8*B7&gt;0,B8+B10,"(S_obs must be keyed in)")</f>
        <v>21.5</v>
      </c>
      <c r="D9" s="1">
        <f>E5</f>
        <v>0.1</v>
      </c>
      <c r="E9" s="1">
        <f>2*$B$5*(1+D9)</f>
        <v>8.8</v>
      </c>
      <c r="F9" s="1">
        <f>EXP(D9*2*$B$6/((1-1/$B$7)*$B$5+2*$B$6/$B$7))</f>
        <v>1.2568032935896711</v>
      </c>
    </row>
    <row r="10" spans="1:6" ht="16.5">
      <c r="A10" s="9" t="s">
        <v>12</v>
      </c>
      <c r="B10" s="33">
        <f>IF(B8&gt;0,IF(B5&gt;0,IF(B6&gt;0,(B7-1)/B7*B5*B5/2/B6,(B7-1)/B7*B5*(B5-1)/2),0),"(S_obs must be keyed in)")</f>
        <v>1.5</v>
      </c>
      <c r="D10" s="1">
        <f aca="true" t="shared" si="0" ref="D10:D41">D9+($E$6-$E$5)/59</f>
        <v>0.13220338983050847</v>
      </c>
      <c r="E10" s="1">
        <f aca="true" t="shared" si="1" ref="E10:E68">2*$B$5*(1+D10)</f>
        <v>9.057627118644067</v>
      </c>
      <c r="F10" s="1">
        <f aca="true" t="shared" si="2" ref="F10:F68">EXP(D10*2*$B$6/((1-1/$B$7)*$B$5+2*$B$6/$B$7))</f>
        <v>1.3528035959544478</v>
      </c>
    </row>
    <row r="11" spans="1:6" ht="16.5">
      <c r="A11" s="10" t="s">
        <v>13</v>
      </c>
      <c r="B11" s="32">
        <f>IF(B4&gt;0,B5/B4,"Please key in T in cell B4")</f>
        <v>0.05555555555555555</v>
      </c>
      <c r="D11" s="1">
        <f t="shared" si="0"/>
        <v>0.16440677966101694</v>
      </c>
      <c r="E11" s="1">
        <f t="shared" si="1"/>
        <v>9.315254237288135</v>
      </c>
      <c r="F11" s="1">
        <f t="shared" si="2"/>
        <v>1.4561368342696115</v>
      </c>
    </row>
    <row r="12" spans="1:6" ht="15">
      <c r="A12" s="9"/>
      <c r="B12" s="27"/>
      <c r="D12" s="1">
        <f t="shared" si="0"/>
        <v>0.1966101694915254</v>
      </c>
      <c r="E12" s="1">
        <f t="shared" si="1"/>
        <v>9.572881355932203</v>
      </c>
      <c r="F12" s="1">
        <f t="shared" si="2"/>
        <v>1.5673631312465282</v>
      </c>
    </row>
    <row r="13" spans="1:6" ht="15">
      <c r="A13" s="14" t="str">
        <f>'Abundance Data'!A13</f>
        <v>(1) First Part (g=1)</v>
      </c>
      <c r="B13" s="28"/>
      <c r="D13" s="1">
        <f t="shared" si="0"/>
        <v>0.22881355932203387</v>
      </c>
      <c r="E13" s="1">
        <f t="shared" si="1"/>
        <v>9.830508474576272</v>
      </c>
      <c r="F13" s="1">
        <f t="shared" si="2"/>
        <v>1.6870853942947943</v>
      </c>
    </row>
    <row r="14" spans="1:6" ht="15">
      <c r="A14" s="16" t="s">
        <v>15</v>
      </c>
      <c r="D14" s="1">
        <f t="shared" si="0"/>
        <v>0.26101694915254237</v>
      </c>
      <c r="E14" s="1">
        <f t="shared" si="1"/>
        <v>10.08813559322034</v>
      </c>
      <c r="F14" s="1">
        <f t="shared" si="2"/>
        <v>1.8159525836104018</v>
      </c>
    </row>
    <row r="15" spans="1:6" ht="16.5">
      <c r="A15" s="9" t="s">
        <v>16</v>
      </c>
      <c r="B15" s="11">
        <v>1</v>
      </c>
      <c r="D15" s="1">
        <f t="shared" si="0"/>
        <v>0.29322033898305083</v>
      </c>
      <c r="E15" s="1">
        <f t="shared" si="1"/>
        <v>10.345762711864406</v>
      </c>
      <c r="F15" s="1">
        <f t="shared" si="2"/>
        <v>1.9546632298952076</v>
      </c>
    </row>
    <row r="16" spans="1:6" ht="15">
      <c r="A16" s="3" t="s">
        <v>17</v>
      </c>
      <c r="B16" s="3" t="s">
        <v>18</v>
      </c>
      <c r="D16" s="1">
        <f t="shared" si="0"/>
        <v>0.3254237288135593</v>
      </c>
      <c r="E16" s="1">
        <f t="shared" si="1"/>
        <v>10.603389830508474</v>
      </c>
      <c r="F16" s="1">
        <f t="shared" si="2"/>
        <v>2.1039692207756833</v>
      </c>
    </row>
    <row r="17" spans="1:6" ht="15">
      <c r="A17" s="3">
        <v>1</v>
      </c>
      <c r="B17" s="3">
        <f>IF(B10&gt;0.5,IF(ABS(B15)&gt;0,B15-(2*$B$5*(1+B15)-EXP(B15*2*$B$6/((1-1/$B$7)*$B$5+2*$B$6/$B$7)))/(2*$B$5-EXP(B15*2*$B$6/((1-1/$B$7)*$B$5+2*$B$6/$B$7))*2*$B$6/((1-1/$B$7)*$B$5+2*$B$6/$B$7)),""),0)</f>
        <v>1.4260722341544785</v>
      </c>
      <c r="D17" s="1">
        <f t="shared" si="0"/>
        <v>0.35762711864406777</v>
      </c>
      <c r="E17" s="1">
        <f t="shared" si="1"/>
        <v>10.861016949152543</v>
      </c>
      <c r="F17" s="1">
        <f t="shared" si="2"/>
        <v>2.264679876445395</v>
      </c>
    </row>
    <row r="18" spans="1:6" ht="15">
      <c r="A18" s="3">
        <v>2</v>
      </c>
      <c r="B18" s="3">
        <f>IF(B10&gt;0.5,IF(ABS(B15)&gt;0,B17-(2*$B$5*(1+B17)-EXP(B17*2*$B$6/((1-1/$B$7)*$B$5+2*$B$6/$B$7)))/(2*$B$5-EXP(B17*2*$B$6/((1-1/$B$7)*$B$5+2*$B$6/$B$7))*2*$B$6/((1-1/$B$7)*$B$5+2*$B$6/$B$7)),""),0)</f>
        <v>1.2973710619199184</v>
      </c>
      <c r="D18" s="1">
        <f t="shared" si="0"/>
        <v>0.38983050847457623</v>
      </c>
      <c r="E18" s="1">
        <f t="shared" si="1"/>
        <v>11.118644067796609</v>
      </c>
      <c r="F18" s="1">
        <f t="shared" si="2"/>
        <v>2.437666336623438</v>
      </c>
    </row>
    <row r="19" spans="1:6" ht="15">
      <c r="A19" s="3">
        <v>3</v>
      </c>
      <c r="B19" s="3">
        <f>IF(B10&gt;0.5,IF(ABS(B15)&gt;0,B18-(2*$B$5*(1+B18)-EXP(B18*2*$B$6/((1-1/$B$7)*$B$5+2*$B$6/$B$7)))/(2*$B$5-EXP(B18*2*$B$6/((1-1/$B$7)*$B$5+2*$B$6/$B$7))*2*$B$6/((1-1/$B$7)*$B$5+2*$B$6/$B$7)),""),0)</f>
        <v>1.2692034666895755</v>
      </c>
      <c r="D19" s="1">
        <f t="shared" si="0"/>
        <v>0.4220338983050847</v>
      </c>
      <c r="E19" s="1">
        <f t="shared" si="1"/>
        <v>11.376271186440677</v>
      </c>
      <c r="F19" s="1">
        <f t="shared" si="2"/>
        <v>2.6238662826085344</v>
      </c>
    </row>
    <row r="20" spans="1:6" ht="15">
      <c r="A20" s="3">
        <v>4</v>
      </c>
      <c r="B20" s="3">
        <f>IF(B10&gt;0.5,IF(ABS(B15)&gt;0,B19-(2*$B$5*(1+B19)-EXP(B19*2*$B$6/((1-1/$B$7)*$B$5+2*$B$6/$B$7)))/(2*$B$5-EXP(B19*2*$B$6/((1-1/$B$7)*$B$5+2*$B$6/$B$7))*2*$B$6/((1-1/$B$7)*$B$5+2*$B$6/$B$7)),""),0)</f>
        <v>1.2680313359789277</v>
      </c>
      <c r="D20" s="1">
        <f t="shared" si="0"/>
        <v>0.45423728813559316</v>
      </c>
      <c r="E20" s="1">
        <f t="shared" si="1"/>
        <v>11.633898305084745</v>
      </c>
      <c r="F20" s="1">
        <f t="shared" si="2"/>
        <v>2.8242890200249127</v>
      </c>
    </row>
    <row r="21" spans="1:6" ht="15">
      <c r="A21" s="3">
        <v>5</v>
      </c>
      <c r="B21" s="3">
        <f>IF(B10&gt;0.5,IF(ABS(B15)&gt;0,B20-(2*$B$5*(1+B20)-EXP(B20*2*$B$6/((1-1/$B$7)*$B$5+2*$B$6/$B$7)))/(2*$B$5-EXP(B20*2*$B$6/((1-1/$B$7)*$B$5+2*$B$6/$B$7))*2*$B$6/((1-1/$B$7)*$B$5+2*$B$6/$B$7)),""),0)</f>
        <v>1.2680293870709731</v>
      </c>
      <c r="D21" s="1">
        <f t="shared" si="0"/>
        <v>0.48644067796610163</v>
      </c>
      <c r="E21" s="1">
        <f t="shared" si="1"/>
        <v>11.891525423728813</v>
      </c>
      <c r="F21" s="1">
        <f t="shared" si="2"/>
        <v>3.0400209498112387</v>
      </c>
    </row>
    <row r="22" spans="1:6" ht="15">
      <c r="A22" s="3">
        <v>6</v>
      </c>
      <c r="B22" s="3">
        <f>IF(B10&gt;0.5,IF(ABS(B15)&gt;0,B21-(2*$B$5*(1+B21)-EXP(B21*2*$B$6/((1-1/$B$7)*$B$5+2*$B$6/$B$7)))/(2*$B$5-EXP(B21*2*$B$6/((1-1/$B$7)*$B$5+2*$B$6/$B$7))*2*$B$6/((1-1/$B$7)*$B$5+2*$B$6/$B$7)),""),0)</f>
        <v>1.2680293870655948</v>
      </c>
      <c r="D22" s="1">
        <f t="shared" si="0"/>
        <v>0.5186440677966101</v>
      </c>
      <c r="E22" s="1">
        <f t="shared" si="1"/>
        <v>12.149152542372882</v>
      </c>
      <c r="F22" s="1">
        <f t="shared" si="2"/>
        <v>3.2722314571083477</v>
      </c>
    </row>
    <row r="23" spans="1:6" ht="15">
      <c r="A23" s="3">
        <v>7</v>
      </c>
      <c r="B23" s="3">
        <f>IF(B10&gt;0.5,IF(ABS(B15)&gt;0,B22-(2*$B$5*(1+B22)-EXP(B22*2*$B$6/((1-1/$B$7)*$B$5+2*$B$6/$B$7)))/(2*$B$5-EXP(B22*2*$B$6/((1-1/$B$7)*$B$5+2*$B$6/$B$7))*2*$B$6/((1-1/$B$7)*$B$5+2*$B$6/$B$7)),""),0)</f>
        <v>1.2680293870655948</v>
      </c>
      <c r="D23" s="1">
        <f t="shared" si="0"/>
        <v>0.5508474576271186</v>
      </c>
      <c r="E23" s="1">
        <f t="shared" si="1"/>
        <v>12.406779661016948</v>
      </c>
      <c r="F23" s="1">
        <f t="shared" si="2"/>
        <v>3.5221792499667712</v>
      </c>
    </row>
    <row r="24" spans="1:6" ht="15">
      <c r="A24" s="3">
        <v>8</v>
      </c>
      <c r="B24" s="3">
        <f>IF(B10&gt;0.5,IF(ABS(B15)&gt;0,B23-(2*$B$5*(1+B23)-EXP(B23*2*$B$6/((1-1/$B$7)*$B$5+2*$B$6/$B$7)))/(2*$B$5-EXP(B23*2*$B$6/((1-1/$B$7)*$B$5+2*$B$6/$B$7))*2*$B$6/((1-1/$B$7)*$B$5+2*$B$6/$B$7)),""),0)</f>
        <v>1.2680293870655948</v>
      </c>
      <c r="D24" s="1">
        <f t="shared" si="0"/>
        <v>0.5830508474576271</v>
      </c>
      <c r="E24" s="1">
        <f t="shared" si="1"/>
        <v>12.664406779661018</v>
      </c>
      <c r="F24" s="1">
        <f t="shared" si="2"/>
        <v>3.791219182233331</v>
      </c>
    </row>
    <row r="25" spans="1:6" ht="15">
      <c r="A25" s="3">
        <v>9</v>
      </c>
      <c r="B25" s="3">
        <f>IF(B10&gt;0.5,IF(ABS(B15)&gt;0,B24-(2*$B$5*(1+B24)-EXP(B24*2*$B$6/((1-1/$B$7)*$B$5+2*$B$6/$B$7)))/(2*$B$5-EXP(B24*2*$B$6/((1-1/$B$7)*$B$5+2*$B$6/$B$7))*2*$B$6/((1-1/$B$7)*$B$5+2*$B$6/$B$7)),""),0)</f>
        <v>1.2680293870655948</v>
      </c>
      <c r="D25" s="1">
        <f t="shared" si="0"/>
        <v>0.6152542372881357</v>
      </c>
      <c r="E25" s="1">
        <f t="shared" si="1"/>
        <v>12.922033898305084</v>
      </c>
      <c r="F25" s="1">
        <f t="shared" si="2"/>
        <v>4.080809597600566</v>
      </c>
    </row>
    <row r="26" spans="1:6" ht="15">
      <c r="A26" s="3">
        <v>10</v>
      </c>
      <c r="B26" s="3">
        <f>IF(B10&gt;0.5,IF(ABS(B15)&gt;0,B25-(2*$B$5*(1+B25)-EXP(B25*2*$B$6/((1-1/$B$7)*$B$5+2*$B$6/$B$7)))/(2*$B$5-EXP(B25*2*$B$6/((1-1/$B$7)*$B$5+2*$B$6/$B$7))*2*$B$6/((1-1/$B$7)*$B$5+2*$B$6/$B$7)),""),0)</f>
        <v>1.2680293870655948</v>
      </c>
      <c r="D26" s="1">
        <f t="shared" si="0"/>
        <v>0.6474576271186442</v>
      </c>
      <c r="E26" s="1">
        <f t="shared" si="1"/>
        <v>13.179661016949154</v>
      </c>
      <c r="F26" s="1">
        <f t="shared" si="2"/>
        <v>4.3925202346277805</v>
      </c>
    </row>
    <row r="27" spans="1:6" ht="15">
      <c r="A27" s="9" t="s">
        <v>19</v>
      </c>
      <c r="B27" s="17">
        <f>IF(B10&gt;0.5,IF(ABS(B15)&gt;0,IF(ABS(B26-B25)/B25&lt;0.0001,B26,"Not converge!!"),""),0)</f>
        <v>1.2680293870655948</v>
      </c>
      <c r="D27" s="1">
        <f t="shared" si="0"/>
        <v>0.6796610169491527</v>
      </c>
      <c r="E27" s="1">
        <f t="shared" si="1"/>
        <v>13.43728813559322</v>
      </c>
      <c r="F27" s="1">
        <f t="shared" si="2"/>
        <v>4.728040735583232</v>
      </c>
    </row>
    <row r="28" spans="1:6" ht="15">
      <c r="A28" s="9" t="s">
        <v>34</v>
      </c>
      <c r="B28" s="18">
        <f>IF(B10&gt;0.5,IF(ABS(B15)&gt;0,IF(ABS(B26-B25)/B25&lt;0.0001,IF(B27&gt;0,B7*B27,"Change initial and try again!!"),"Change initial and try again!!"),""),0)</f>
        <v>20.288470193049516</v>
      </c>
      <c r="D28" s="1">
        <f t="shared" si="0"/>
        <v>0.7118644067796612</v>
      </c>
      <c r="E28" s="1">
        <f t="shared" si="1"/>
        <v>13.69491525423729</v>
      </c>
      <c r="F28" s="1">
        <f t="shared" si="2"/>
        <v>5.089189805230055</v>
      </c>
    </row>
    <row r="29" spans="1:6" ht="15">
      <c r="A29" s="9"/>
      <c r="B29" s="19"/>
      <c r="D29" s="1">
        <f t="shared" si="0"/>
        <v>0.7440677966101698</v>
      </c>
      <c r="E29" s="1">
        <f t="shared" si="1"/>
        <v>13.952542372881357</v>
      </c>
      <c r="F29" s="1">
        <f t="shared" si="2"/>
        <v>5.47792506920155</v>
      </c>
    </row>
    <row r="30" spans="1:6" ht="15">
      <c r="A30" s="9"/>
      <c r="B30" s="19"/>
      <c r="D30" s="1">
        <f t="shared" si="0"/>
        <v>0.7762711864406783</v>
      </c>
      <c r="E30" s="1">
        <f t="shared" si="1"/>
        <v>14.210169491525427</v>
      </c>
      <c r="F30" s="1">
        <f t="shared" si="2"/>
        <v>5.896353685403629</v>
      </c>
    </row>
    <row r="31" spans="1:6" ht="15">
      <c r="A31" s="20" t="str">
        <f>'Abundance Data'!A31</f>
        <v>(2) Second Part (g&lt;1)</v>
      </c>
      <c r="B31" s="21"/>
      <c r="D31" s="1">
        <f t="shared" si="0"/>
        <v>0.8084745762711868</v>
      </c>
      <c r="E31" s="1">
        <f t="shared" si="1"/>
        <v>14.467796610169493</v>
      </c>
      <c r="F31" s="1">
        <f t="shared" si="2"/>
        <v>6.346743765964019</v>
      </c>
    </row>
    <row r="32" spans="1:6" ht="15">
      <c r="A32" s="9" t="s">
        <v>22</v>
      </c>
      <c r="B32" s="11">
        <v>0.95</v>
      </c>
      <c r="D32" s="1">
        <f t="shared" si="0"/>
        <v>0.8406779661016953</v>
      </c>
      <c r="E32" s="1">
        <f t="shared" si="1"/>
        <v>14.725423728813563</v>
      </c>
      <c r="F32" s="1">
        <f t="shared" si="2"/>
        <v>6.831536671641455</v>
      </c>
    </row>
    <row r="33" spans="1:6" ht="15">
      <c r="A33" s="22" t="str">
        <f>CONCATENATE("　  　 　( g must be greater than ",IF(B8&gt;0,IF(B10&gt;0.5,FIXED(B8/B9,3,TRUE),1),0)," )")</f>
        <v>　  　 　( g must be greater than 0.930 )</v>
      </c>
      <c r="D33" s="1">
        <f t="shared" si="0"/>
        <v>0.8728813559322038</v>
      </c>
      <c r="E33" s="1">
        <f t="shared" si="1"/>
        <v>14.98305084745763</v>
      </c>
      <c r="F33" s="1">
        <f t="shared" si="2"/>
        <v>7.353360245337277</v>
      </c>
    </row>
    <row r="34" spans="1:6" ht="15">
      <c r="A34" s="29" t="s">
        <v>19</v>
      </c>
      <c r="B34" s="17">
        <f>IF(B8*B32&gt;0,IF(B32&lt;1,B35/B7,"")," ")</f>
        <v>0.13507256621486427</v>
      </c>
      <c r="D34" s="1">
        <f t="shared" si="0"/>
        <v>0.9050847457627124</v>
      </c>
      <c r="E34" s="1">
        <f t="shared" si="1"/>
        <v>15.2406779661017</v>
      </c>
      <c r="F34" s="1">
        <f t="shared" si="2"/>
        <v>7.9150430564423075</v>
      </c>
    </row>
    <row r="35" spans="1:6" ht="16.5">
      <c r="A35" s="9" t="s">
        <v>35</v>
      </c>
      <c r="B35" s="18">
        <f>IF(B8*B32&gt;0,IF(B32&lt;1,IF(B10&gt;0.5,MIN(LN((1-B7/(B7-1)*2*B6/(B5*B5)*(B32*B9-B8)))/LN(1-2*B6/((B7-1)*B5+2*B6)),B28),0),""),"")</f>
        <v>2.1611610594378283</v>
      </c>
      <c r="D35" s="1">
        <f t="shared" si="0"/>
        <v>0.9372881355932209</v>
      </c>
      <c r="E35" s="1">
        <f t="shared" si="1"/>
        <v>15.498305084745766</v>
      </c>
      <c r="F35" s="1">
        <f t="shared" si="2"/>
        <v>8.519629733231183</v>
      </c>
    </row>
    <row r="36" spans="4:6" ht="15">
      <c r="D36" s="1">
        <f t="shared" si="0"/>
        <v>0.9694915254237294</v>
      </c>
      <c r="E36" s="1">
        <f t="shared" si="1"/>
        <v>15.755932203389836</v>
      </c>
      <c r="F36" s="1">
        <f t="shared" si="2"/>
        <v>9.170397466414071</v>
      </c>
    </row>
    <row r="37" spans="4:6" ht="15">
      <c r="D37" s="1">
        <f t="shared" si="0"/>
        <v>1.0016949152542378</v>
      </c>
      <c r="E37" s="1">
        <f t="shared" si="1"/>
        <v>16.013559322033903</v>
      </c>
      <c r="F37" s="1">
        <f t="shared" si="2"/>
        <v>9.870873773304107</v>
      </c>
    </row>
    <row r="38" spans="4:6" ht="15">
      <c r="D38" s="1">
        <f t="shared" si="0"/>
        <v>1.0338983050847463</v>
      </c>
      <c r="E38" s="1">
        <f t="shared" si="1"/>
        <v>16.271186440677972</v>
      </c>
      <c r="F38" s="1">
        <f t="shared" si="2"/>
        <v>10.62485561889205</v>
      </c>
    </row>
    <row r="39" spans="4:6" ht="15">
      <c r="D39" s="1">
        <f t="shared" si="0"/>
        <v>1.0661016949152549</v>
      </c>
      <c r="E39" s="1">
        <f t="shared" si="1"/>
        <v>16.52881355932204</v>
      </c>
      <c r="F39" s="1">
        <f t="shared" si="2"/>
        <v>11.436429997474754</v>
      </c>
    </row>
    <row r="40" spans="4:6" ht="15">
      <c r="D40" s="1">
        <f t="shared" si="0"/>
        <v>1.0983050847457634</v>
      </c>
      <c r="E40" s="1">
        <f t="shared" si="1"/>
        <v>16.786440677966105</v>
      </c>
      <c r="F40" s="1">
        <f t="shared" si="2"/>
        <v>12.309996086401341</v>
      </c>
    </row>
    <row r="41" spans="4:6" ht="15">
      <c r="D41" s="1">
        <f t="shared" si="0"/>
        <v>1.130508474576272</v>
      </c>
      <c r="E41" s="1">
        <f t="shared" si="1"/>
        <v>17.044067796610175</v>
      </c>
      <c r="F41" s="1">
        <f t="shared" si="2"/>
        <v>13.2502890920223</v>
      </c>
    </row>
    <row r="42" spans="4:6" ht="15">
      <c r="D42" s="1">
        <f aca="true" t="shared" si="3" ref="D42:D68">D41+($E$6-$E$5)/59</f>
        <v>1.1627118644067804</v>
      </c>
      <c r="E42" s="1">
        <f t="shared" si="1"/>
        <v>17.301694915254245</v>
      </c>
      <c r="F42" s="1">
        <f t="shared" si="2"/>
        <v>14.262405917099741</v>
      </c>
    </row>
    <row r="43" spans="4:6" ht="15">
      <c r="D43" s="1">
        <f t="shared" si="3"/>
        <v>1.194915254237289</v>
      </c>
      <c r="E43" s="1">
        <f t="shared" si="1"/>
        <v>17.55932203389831</v>
      </c>
      <c r="F43" s="1">
        <f t="shared" si="2"/>
        <v>15.351832788810164</v>
      </c>
    </row>
    <row r="44" spans="4:6" ht="15">
      <c r="D44" s="1">
        <f t="shared" si="3"/>
        <v>1.2271186440677975</v>
      </c>
      <c r="E44" s="1">
        <f t="shared" si="1"/>
        <v>17.816949152542378</v>
      </c>
      <c r="F44" s="1">
        <f t="shared" si="2"/>
        <v>16.524474997098675</v>
      </c>
    </row>
    <row r="45" spans="4:6" ht="15">
      <c r="D45" s="1">
        <f t="shared" si="3"/>
        <v>1.259322033898306</v>
      </c>
      <c r="E45" s="1">
        <f t="shared" si="1"/>
        <v>18.074576271186448</v>
      </c>
      <c r="F45" s="1">
        <f t="shared" si="2"/>
        <v>17.78668890458275</v>
      </c>
    </row>
    <row r="46" spans="4:6" ht="15">
      <c r="D46" s="1">
        <f t="shared" si="3"/>
        <v>1.2915254237288145</v>
      </c>
      <c r="E46" s="1">
        <f t="shared" si="1"/>
        <v>18.332203389830518</v>
      </c>
      <c r="F46" s="1">
        <f t="shared" si="2"/>
        <v>19.14531640151677</v>
      </c>
    </row>
    <row r="47" spans="4:6" ht="15">
      <c r="D47" s="1">
        <f t="shared" si="3"/>
        <v>1.323728813559323</v>
      </c>
      <c r="E47" s="1">
        <f t="shared" si="1"/>
        <v>18.589830508474584</v>
      </c>
      <c r="F47" s="1">
        <f t="shared" si="2"/>
        <v>20.607721992582164</v>
      </c>
    </row>
    <row r="48" spans="4:6" ht="15">
      <c r="D48" s="1">
        <f t="shared" si="3"/>
        <v>1.3559322033898316</v>
      </c>
      <c r="E48" s="1">
        <f t="shared" si="1"/>
        <v>18.84745762711865</v>
      </c>
      <c r="F48" s="1">
        <f t="shared" si="2"/>
        <v>22.181832716533723</v>
      </c>
    </row>
    <row r="49" spans="4:6" ht="15">
      <c r="D49" s="1">
        <f t="shared" si="3"/>
        <v>1.38813559322034</v>
      </c>
      <c r="E49" s="1">
        <f t="shared" si="1"/>
        <v>19.10508474576272</v>
      </c>
      <c r="F49" s="1">
        <f t="shared" si="2"/>
        <v>23.876181115088603</v>
      </c>
    </row>
    <row r="50" spans="4:6" ht="15">
      <c r="D50" s="1">
        <f t="shared" si="3"/>
        <v>1.4203389830508486</v>
      </c>
      <c r="E50" s="1">
        <f t="shared" si="1"/>
        <v>19.36271186440679</v>
      </c>
      <c r="F50" s="1">
        <f t="shared" si="2"/>
        <v>25.69995148397261</v>
      </c>
    </row>
    <row r="51" spans="4:6" ht="15">
      <c r="D51" s="1">
        <f t="shared" si="3"/>
        <v>1.4525423728813571</v>
      </c>
      <c r="E51" s="1">
        <f t="shared" si="1"/>
        <v>19.620338983050857</v>
      </c>
      <c r="F51" s="1">
        <f t="shared" si="2"/>
        <v>27.66302965683025</v>
      </c>
    </row>
    <row r="52" spans="4:6" ht="15">
      <c r="D52" s="1">
        <f t="shared" si="3"/>
        <v>1.4847457627118656</v>
      </c>
      <c r="E52" s="1">
        <f t="shared" si="1"/>
        <v>19.877966101694923</v>
      </c>
      <c r="F52" s="1">
        <f t="shared" si="2"/>
        <v>29.776056591853955</v>
      </c>
    </row>
    <row r="53" spans="4:6" ht="15">
      <c r="D53" s="1">
        <f t="shared" si="3"/>
        <v>1.5169491525423742</v>
      </c>
      <c r="E53" s="1">
        <f t="shared" si="1"/>
        <v>20.135593220338993</v>
      </c>
      <c r="F53" s="1">
        <f t="shared" si="2"/>
        <v>32.05048605160198</v>
      </c>
    </row>
    <row r="54" spans="4:6" ht="15">
      <c r="D54" s="1">
        <f t="shared" si="3"/>
        <v>1.5491525423728827</v>
      </c>
      <c r="E54" s="1">
        <f t="shared" si="1"/>
        <v>20.393220338983063</v>
      </c>
      <c r="F54" s="1">
        <f t="shared" si="2"/>
        <v>34.4986466886606</v>
      </c>
    </row>
    <row r="55" spans="4:6" ht="15">
      <c r="D55" s="1">
        <f t="shared" si="3"/>
        <v>1.5813559322033912</v>
      </c>
      <c r="E55" s="1">
        <f t="shared" si="1"/>
        <v>20.65084745762713</v>
      </c>
      <c r="F55" s="1">
        <f t="shared" si="2"/>
        <v>37.13380887368931</v>
      </c>
    </row>
    <row r="56" spans="4:6" ht="15">
      <c r="D56" s="1">
        <f t="shared" si="3"/>
        <v>1.6135593220338997</v>
      </c>
      <c r="E56" s="1">
        <f t="shared" si="1"/>
        <v>20.908474576271196</v>
      </c>
      <c r="F56" s="1">
        <f t="shared" si="2"/>
        <v>39.970256628093324</v>
      </c>
    </row>
    <row r="57" spans="4:6" ht="15">
      <c r="D57" s="1">
        <f t="shared" si="3"/>
        <v>1.6457627118644083</v>
      </c>
      <c r="E57" s="1">
        <f t="shared" si="1"/>
        <v>21.166101694915266</v>
      </c>
      <c r="F57" s="1">
        <f t="shared" si="2"/>
        <v>43.02336505123808</v>
      </c>
    </row>
    <row r="58" spans="4:6" ht="15">
      <c r="D58" s="1">
        <f t="shared" si="3"/>
        <v>1.6779661016949168</v>
      </c>
      <c r="E58" s="1">
        <f t="shared" si="1"/>
        <v>21.423728813559336</v>
      </c>
      <c r="F58" s="1">
        <f t="shared" si="2"/>
        <v>46.30968366190324</v>
      </c>
    </row>
    <row r="59" spans="4:6" ht="15">
      <c r="D59" s="1">
        <f t="shared" si="3"/>
        <v>1.7101694915254253</v>
      </c>
      <c r="E59" s="1">
        <f t="shared" si="1"/>
        <v>21.681355932203402</v>
      </c>
      <c r="F59" s="1">
        <f t="shared" si="2"/>
        <v>49.84702610573309</v>
      </c>
    </row>
    <row r="60" spans="4:6" ht="15">
      <c r="D60" s="1">
        <f t="shared" si="3"/>
        <v>1.7423728813559338</v>
      </c>
      <c r="E60" s="1">
        <f t="shared" si="1"/>
        <v>21.93898305084747</v>
      </c>
      <c r="F60" s="1">
        <f t="shared" si="2"/>
        <v>53.654566714946114</v>
      </c>
    </row>
    <row r="61" spans="4:6" ht="15">
      <c r="D61" s="1">
        <f t="shared" si="3"/>
        <v>1.7745762711864423</v>
      </c>
      <c r="E61" s="1">
        <f t="shared" si="1"/>
        <v>22.19661016949154</v>
      </c>
      <c r="F61" s="1">
        <f t="shared" si="2"/>
        <v>57.75294444371068</v>
      </c>
    </row>
    <row r="62" spans="4:6" ht="15">
      <c r="D62" s="1">
        <f t="shared" si="3"/>
        <v>1.8067796610169509</v>
      </c>
      <c r="E62" s="1">
        <f t="shared" si="1"/>
        <v>22.45423728813561</v>
      </c>
      <c r="F62" s="1">
        <f t="shared" si="2"/>
        <v>62.16437474257377</v>
      </c>
    </row>
    <row r="63" spans="4:6" ht="15">
      <c r="D63" s="1">
        <f t="shared" si="3"/>
        <v>1.8389830508474594</v>
      </c>
      <c r="E63" s="1">
        <f t="shared" si="1"/>
        <v>22.711864406779675</v>
      </c>
      <c r="F63" s="1">
        <f t="shared" si="2"/>
        <v>66.91276997836225</v>
      </c>
    </row>
    <row r="64" spans="4:6" ht="15">
      <c r="D64" s="1">
        <f t="shared" si="3"/>
        <v>1.871186440677968</v>
      </c>
      <c r="E64" s="1">
        <f t="shared" si="1"/>
        <v>22.96949152542374</v>
      </c>
      <c r="F64" s="1">
        <f t="shared" si="2"/>
        <v>72.02386905229952</v>
      </c>
    </row>
    <row r="65" spans="4:6" ht="15">
      <c r="D65" s="1">
        <f t="shared" si="3"/>
        <v>1.9033898305084764</v>
      </c>
      <c r="E65" s="1">
        <f t="shared" si="1"/>
        <v>23.22711864406781</v>
      </c>
      <c r="F65" s="1">
        <f t="shared" si="2"/>
        <v>77.5253769189389</v>
      </c>
    </row>
    <row r="66" spans="4:6" ht="15">
      <c r="D66" s="1">
        <f t="shared" si="3"/>
        <v>1.935593220338985</v>
      </c>
      <c r="E66" s="1">
        <f t="shared" si="1"/>
        <v>23.48474576271188</v>
      </c>
      <c r="F66" s="1">
        <f t="shared" si="2"/>
        <v>83.44711476218107</v>
      </c>
    </row>
    <row r="67" spans="4:6" ht="15">
      <c r="D67" s="1">
        <f t="shared" si="3"/>
        <v>1.9677966101694935</v>
      </c>
      <c r="E67" s="1">
        <f t="shared" si="1"/>
        <v>23.742372881355948</v>
      </c>
      <c r="F67" s="1">
        <f t="shared" si="2"/>
        <v>89.82118164241413</v>
      </c>
    </row>
    <row r="68" spans="4:6" ht="15">
      <c r="D68" s="1">
        <f t="shared" si="3"/>
        <v>2.0000000000000018</v>
      </c>
      <c r="E68" s="1">
        <f t="shared" si="1"/>
        <v>24.000000000000014</v>
      </c>
      <c r="F68" s="1">
        <f t="shared" si="2"/>
        <v>96.68212849098951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K Colwell</cp:lastModifiedBy>
  <cp:lastPrinted>2008-05-25T09:47:33Z</cp:lastPrinted>
  <dcterms:created xsi:type="dcterms:W3CDTF">1997-01-14T01:50:29Z</dcterms:created>
  <dcterms:modified xsi:type="dcterms:W3CDTF">2008-06-10T12:51:57Z</dcterms:modified>
  <cp:category/>
  <cp:version/>
  <cp:contentType/>
  <cp:contentStatus/>
</cp:coreProperties>
</file>